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worksheets/sheet7.xml" ContentType="application/vnd.openxmlformats-officedocument.spreadsheetml.worksheet+xml"/>
  <Override PartName="/xl/worksheets/sheet8.xml" ContentType="application/vnd.openxmlformats-officedocument.spreadsheetml.worksheet+xml"/>
  <Override PartName="/xl/worksheets/sheet9.xml" ContentType="application/vnd.openxmlformats-officedocument.spreadsheetml.worksheet+xml"/>
  <Override PartName="/xl/worksheets/sheet10.xml" ContentType="application/vnd.openxmlformats-officedocument.spreadsheetml.worksheet+xml"/>
  <Override PartName="/xl/worksheets/sheet11.xml" ContentType="application/vnd.openxmlformats-officedocument.spreadsheetml.worksheet+xml"/>
  <Override PartName="/xl/worksheets/sheet12.xml" ContentType="application/vnd.openxmlformats-officedocument.spreadsheetml.worksheet+xml"/>
  <Override PartName="/xl/worksheets/sheet13.xml" ContentType="application/vnd.openxmlformats-officedocument.spreadsheetml.worksheet+xml"/>
  <Override PartName="/xl/worksheets/sheet14.xml" ContentType="application/vnd.openxmlformats-officedocument.spreadsheetml.worksheet+xml"/>
  <Override PartName="/xl/worksheets/sheet15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omments1.xml" ContentType="application/vnd.openxmlformats-officedocument.spreadsheetml.comments+xml"/>
  <Override PartName="/xl/drawings/drawing2.xml" ContentType="application/vnd.openxmlformats-officedocument.drawing+xml"/>
  <Override PartName="/xl/comments2.xml" ContentType="application/vnd.openxmlformats-officedocument.spreadsheetml.comment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codeName="ThisWorkbook"/>
  <mc:AlternateContent xmlns:mc="http://schemas.openxmlformats.org/markup-compatibility/2006">
    <mc:Choice Requires="x15">
      <x15ac:absPath xmlns:x15ac="http://schemas.microsoft.com/office/spreadsheetml/2010/11/ac" url="C:\Users\USER\Desktop\dd\"/>
    </mc:Choice>
  </mc:AlternateContent>
  <bookViews>
    <workbookView xWindow="0" yWindow="0" windowWidth="13860" windowHeight="10755" tabRatio="864" activeTab="10"/>
  </bookViews>
  <sheets>
    <sheet name="표지" sheetId="1" r:id="rId1"/>
    <sheet name="가. 예산총칙" sheetId="2" r:id="rId2"/>
    <sheet name="나. 세입세출(총괄)" sheetId="3" r:id="rId3"/>
    <sheet name="다. 세입내역서" sheetId="4" r:id="rId4"/>
    <sheet name="라. 세출내역서" sheetId="5" r:id="rId5"/>
    <sheet name="라-1.보조금세출" sheetId="6" state="hidden" r:id="rId6"/>
    <sheet name="라-2.자부담세출" sheetId="7" state="hidden" r:id="rId7"/>
    <sheet name="라-3.후원금세출" sheetId="8" state="hidden" r:id="rId8"/>
    <sheet name="마. 세입세출(개요)" sheetId="9" r:id="rId9"/>
    <sheet name="바. 증감사유" sheetId="10" r:id="rId10"/>
    <sheet name="사. 임직원보수 일람표" sheetId="11" r:id="rId11"/>
    <sheet name="아. 자부담 계약직 인건비" sheetId="12" state="hidden" r:id="rId12"/>
    <sheet name="인건비총계표(보조금)" sheetId="13" state="hidden" r:id="rId13"/>
    <sheet name="인건비총계표(자부담)" sheetId="14" state="hidden" r:id="rId14"/>
    <sheet name="자. 일용잡급일람표" sheetId="15" state="hidden" r:id="rId15"/>
  </sheets>
  <definedNames>
    <definedName name="F" localSheetId="1">#REF!</definedName>
    <definedName name="F" localSheetId="4">#REF!</definedName>
    <definedName name="F" localSheetId="11">#REF!</definedName>
    <definedName name="F" localSheetId="13">#REF!</definedName>
    <definedName name="F" localSheetId="14">#REF!</definedName>
    <definedName name="F" localSheetId="0">#REF!</definedName>
    <definedName name="F">#REF!</definedName>
    <definedName name="_xlnm.Print_Area" localSheetId="1">'가. 예산총칙'!$A$1:$J$49</definedName>
    <definedName name="_xlnm.Print_Area" localSheetId="3">'다. 세입내역서'!$A$1:$J$37</definedName>
    <definedName name="_xlnm.Print_Area" localSheetId="5">'라-1.보조금세출'!$A$1:$R$61</definedName>
    <definedName name="_xlnm.Print_Area" localSheetId="6">'라-2.자부담세출'!$A$1:$R$68</definedName>
    <definedName name="_xlnm.Print_Area" localSheetId="7">'라-3.후원금세출'!$A$1:$R$80</definedName>
    <definedName name="_xlnm.Print_Area" localSheetId="8">'마. 세입세출(개요)'!$A$1:$G$32</definedName>
    <definedName name="_xlnm.Print_Area" localSheetId="9">'바. 증감사유'!$A$1:$P$55</definedName>
    <definedName name="_xlnm.Print_Area" localSheetId="10">'사. 임직원보수 일람표'!$A$1:$W$42</definedName>
    <definedName name="_xlnm.Print_Area" localSheetId="11">'아. 자부담 계약직 인건비'!$A$1:$O$9</definedName>
    <definedName name="_xlnm.Print_Area" localSheetId="12">'인건비총계표(보조금)'!$A$1:$AC$122</definedName>
    <definedName name="_xlnm.Print_Area" localSheetId="14">'자. 일용잡급일람표'!$A$1:$O$13</definedName>
    <definedName name="_xlnm.Print_Area" localSheetId="0">표지!$A$1:$A$24</definedName>
    <definedName name="_xlnm.Print_Titles" localSheetId="2">'나. 세입세출(총괄)'!$4:$7</definedName>
    <definedName name="_xlnm.Print_Titles" localSheetId="3">'다. 세입내역서'!$4:$6</definedName>
    <definedName name="_xlnm.Print_Titles" localSheetId="4">'라. 세출내역서'!$4:$6</definedName>
    <definedName name="_xlnm.Print_Titles" localSheetId="5">'라-1.보조금세출'!$3:$5</definedName>
    <definedName name="_xlnm.Print_Titles" localSheetId="6">'라-2.자부담세출'!$3:$5</definedName>
    <definedName name="_xlnm.Print_Titles" localSheetId="7">'라-3.후원금세출'!$3:$5</definedName>
    <definedName name="_xlnm.Print_Titles" localSheetId="9">'바. 증감사유'!$4:$7</definedName>
    <definedName name="_xlnm.Print_Titles" localSheetId="10">'사. 임직원보수 일람표'!$3:$4</definedName>
    <definedName name="_xlnm.Print_Titles" localSheetId="11">'아. 자부담 계약직 인건비'!$3:$4</definedName>
    <definedName name="_xlnm.Print_Titles" localSheetId="12">'인건비총계표(보조금)'!$4:$4</definedName>
    <definedName name="_xlnm.Print_Titles" localSheetId="14">'자. 일용잡급일람표'!$3:$4</definedName>
    <definedName name="보수">#REF!</definedName>
    <definedName name="보수일람표">#REF!</definedName>
    <definedName name="보수일람표1">#REF!</definedName>
    <definedName name="보수일람표2">#REF!</definedName>
    <definedName name="보수일람표3">#REF!</definedName>
    <definedName name="ㅇㅇㅇ">#REF!</definedName>
    <definedName name="아">#REF!</definedName>
  </definedNames>
  <calcPr calcId="162913"/>
</workbook>
</file>

<file path=xl/calcChain.xml><?xml version="1.0" encoding="utf-8"?>
<calcChain xmlns="http://schemas.openxmlformats.org/spreadsheetml/2006/main">
  <c r="H11" i="11" l="1"/>
  <c r="F11" i="11"/>
  <c r="Y126" i="14" l="1"/>
  <c r="W126" i="14"/>
  <c r="X126" i="14" s="1"/>
  <c r="Y125" i="14"/>
  <c r="W125" i="14"/>
  <c r="X125" i="14" s="1"/>
  <c r="Y124" i="14"/>
  <c r="W124" i="14"/>
  <c r="X124" i="14" s="1"/>
  <c r="Y123" i="14"/>
  <c r="W123" i="14"/>
  <c r="X123" i="14" s="1"/>
  <c r="Y122" i="14"/>
  <c r="W122" i="14"/>
  <c r="X122" i="14" s="1"/>
  <c r="Y121" i="14"/>
  <c r="W121" i="14"/>
  <c r="X121" i="14" s="1"/>
  <c r="Y120" i="14"/>
  <c r="W120" i="14"/>
  <c r="X120" i="14" s="1"/>
  <c r="Y119" i="14"/>
  <c r="W119" i="14"/>
  <c r="X119" i="14" s="1"/>
  <c r="Y118" i="14"/>
  <c r="W118" i="14"/>
  <c r="X118" i="14" s="1"/>
  <c r="Y117" i="14"/>
  <c r="W117" i="14"/>
  <c r="X117" i="14" s="1"/>
  <c r="Y116" i="14"/>
  <c r="W116" i="14"/>
  <c r="X116" i="14" s="1"/>
  <c r="Y115" i="14"/>
  <c r="W115" i="14"/>
  <c r="X115" i="14" s="1"/>
  <c r="Z114" i="14"/>
  <c r="Y114" i="14"/>
  <c r="W114" i="14"/>
  <c r="X114" i="14" s="1"/>
  <c r="V114" i="14"/>
  <c r="T114" i="14"/>
  <c r="AA114" i="14" s="1"/>
  <c r="AA113" i="14"/>
  <c r="Y113" i="14"/>
  <c r="W113" i="14"/>
  <c r="X113" i="14" s="1"/>
  <c r="V113" i="14"/>
  <c r="T113" i="14"/>
  <c r="Z113" i="14" s="1"/>
  <c r="Y112" i="14"/>
  <c r="W112" i="14"/>
  <c r="X112" i="14" s="1"/>
  <c r="T112" i="14"/>
  <c r="AA112" i="14" s="1"/>
  <c r="AA111" i="14"/>
  <c r="Z111" i="14"/>
  <c r="Y111" i="14"/>
  <c r="W111" i="14"/>
  <c r="X111" i="14" s="1"/>
  <c r="V111" i="14"/>
  <c r="T111" i="14"/>
  <c r="AA110" i="14"/>
  <c r="Y110" i="14"/>
  <c r="W110" i="14"/>
  <c r="X110" i="14" s="1"/>
  <c r="V110" i="14"/>
  <c r="T110" i="14"/>
  <c r="Z110" i="14" s="1"/>
  <c r="Y109" i="14"/>
  <c r="W109" i="14"/>
  <c r="X109" i="14" s="1"/>
  <c r="T109" i="14"/>
  <c r="AA109" i="14" s="1"/>
  <c r="AA108" i="14"/>
  <c r="Z108" i="14"/>
  <c r="Y108" i="14"/>
  <c r="W108" i="14"/>
  <c r="X108" i="14" s="1"/>
  <c r="V108" i="14"/>
  <c r="AB108" i="14" s="1"/>
  <c r="T108" i="14"/>
  <c r="Y107" i="14"/>
  <c r="X107" i="14"/>
  <c r="W107" i="14"/>
  <c r="Y106" i="14"/>
  <c r="W106" i="14"/>
  <c r="X106" i="14" s="1"/>
  <c r="Y105" i="14"/>
  <c r="X105" i="14"/>
  <c r="W105" i="14"/>
  <c r="Y104" i="14"/>
  <c r="X104" i="14"/>
  <c r="W104" i="14"/>
  <c r="Y103" i="14"/>
  <c r="X103" i="14"/>
  <c r="W103" i="14"/>
  <c r="Y102" i="14"/>
  <c r="S102" i="14"/>
  <c r="W102" i="14" s="1"/>
  <c r="X102" i="14" s="1"/>
  <c r="R102" i="14"/>
  <c r="Q102" i="14"/>
  <c r="O102" i="14"/>
  <c r="N102" i="14"/>
  <c r="M102" i="14"/>
  <c r="L102" i="14"/>
  <c r="K102" i="14"/>
  <c r="J102" i="14"/>
  <c r="I102" i="14"/>
  <c r="H102" i="14"/>
  <c r="G102" i="14"/>
  <c r="F102" i="14"/>
  <c r="AA101" i="14"/>
  <c r="Y101" i="14"/>
  <c r="W101" i="14"/>
  <c r="X101" i="14" s="1"/>
  <c r="V101" i="14"/>
  <c r="AB101" i="14" s="1"/>
  <c r="T101" i="14"/>
  <c r="Z101" i="14" s="1"/>
  <c r="Y100" i="14"/>
  <c r="W100" i="14"/>
  <c r="X100" i="14" s="1"/>
  <c r="T100" i="14"/>
  <c r="AA100" i="14" s="1"/>
  <c r="AA99" i="14"/>
  <c r="Z99" i="14"/>
  <c r="Y99" i="14"/>
  <c r="W99" i="14"/>
  <c r="X99" i="14" s="1"/>
  <c r="V99" i="14"/>
  <c r="AB99" i="14" s="1"/>
  <c r="T99" i="14"/>
  <c r="AA98" i="14"/>
  <c r="Y98" i="14"/>
  <c r="W98" i="14"/>
  <c r="X98" i="14" s="1"/>
  <c r="V98" i="14"/>
  <c r="T98" i="14"/>
  <c r="Z98" i="14" s="1"/>
  <c r="Y97" i="14"/>
  <c r="W97" i="14"/>
  <c r="X97" i="14" s="1"/>
  <c r="T97" i="14"/>
  <c r="AA97" i="14" s="1"/>
  <c r="AA96" i="14"/>
  <c r="Z96" i="14"/>
  <c r="Y96" i="14"/>
  <c r="W96" i="14"/>
  <c r="X96" i="14" s="1"/>
  <c r="V96" i="14"/>
  <c r="AB96" i="14" s="1"/>
  <c r="T96" i="14"/>
  <c r="AA95" i="14"/>
  <c r="Y95" i="14"/>
  <c r="W95" i="14"/>
  <c r="X95" i="14" s="1"/>
  <c r="V95" i="14"/>
  <c r="T95" i="14"/>
  <c r="Z95" i="14" s="1"/>
  <c r="Y94" i="14"/>
  <c r="W94" i="14"/>
  <c r="X94" i="14" s="1"/>
  <c r="T94" i="14"/>
  <c r="AA94" i="14" s="1"/>
  <c r="Y93" i="14"/>
  <c r="W93" i="14"/>
  <c r="X93" i="14" s="1"/>
  <c r="T93" i="14"/>
  <c r="Y92" i="14"/>
  <c r="X92" i="14"/>
  <c r="W92" i="14"/>
  <c r="T92" i="14"/>
  <c r="Y91" i="14"/>
  <c r="X91" i="14"/>
  <c r="W91" i="14"/>
  <c r="Y90" i="14"/>
  <c r="W90" i="14"/>
  <c r="X90" i="14" s="1"/>
  <c r="Y89" i="14"/>
  <c r="T89" i="14"/>
  <c r="S89" i="14"/>
  <c r="W89" i="14" s="1"/>
  <c r="X89" i="14" s="1"/>
  <c r="R89" i="14"/>
  <c r="Q89" i="14"/>
  <c r="O89" i="14"/>
  <c r="N89" i="14"/>
  <c r="M89" i="14"/>
  <c r="L89" i="14"/>
  <c r="K89" i="14"/>
  <c r="J89" i="14"/>
  <c r="I89" i="14"/>
  <c r="H89" i="14"/>
  <c r="G89" i="14"/>
  <c r="F89" i="14"/>
  <c r="Y88" i="14"/>
  <c r="W88" i="14"/>
  <c r="X88" i="14" s="1"/>
  <c r="Y87" i="14"/>
  <c r="X87" i="14"/>
  <c r="W87" i="14"/>
  <c r="Y86" i="14"/>
  <c r="W86" i="14"/>
  <c r="X86" i="14" s="1"/>
  <c r="Y85" i="14"/>
  <c r="X85" i="14"/>
  <c r="W85" i="14"/>
  <c r="Y84" i="14"/>
  <c r="W84" i="14"/>
  <c r="X84" i="14" s="1"/>
  <c r="Y83" i="14"/>
  <c r="X83" i="14"/>
  <c r="W83" i="14"/>
  <c r="Y82" i="14"/>
  <c r="W82" i="14"/>
  <c r="X82" i="14" s="1"/>
  <c r="Y81" i="14"/>
  <c r="X81" i="14"/>
  <c r="W81" i="14"/>
  <c r="Y80" i="14"/>
  <c r="W80" i="14"/>
  <c r="X80" i="14" s="1"/>
  <c r="Y79" i="14"/>
  <c r="X79" i="14"/>
  <c r="W79" i="14"/>
  <c r="Y78" i="14"/>
  <c r="W78" i="14"/>
  <c r="X78" i="14" s="1"/>
  <c r="Y77" i="14"/>
  <c r="X77" i="14"/>
  <c r="W77" i="14"/>
  <c r="Y76" i="14"/>
  <c r="W76" i="14"/>
  <c r="X76" i="14" s="1"/>
  <c r="Y75" i="14"/>
  <c r="X75" i="14"/>
  <c r="W75" i="14"/>
  <c r="Y74" i="14"/>
  <c r="W74" i="14"/>
  <c r="X74" i="14" s="1"/>
  <c r="Y73" i="14"/>
  <c r="X73" i="14"/>
  <c r="W73" i="14"/>
  <c r="Y72" i="14"/>
  <c r="W72" i="14"/>
  <c r="X72" i="14" s="1"/>
  <c r="Y71" i="14"/>
  <c r="X71" i="14"/>
  <c r="W71" i="14"/>
  <c r="Y70" i="14"/>
  <c r="W70" i="14"/>
  <c r="X70" i="14" s="1"/>
  <c r="Y69" i="14"/>
  <c r="X69" i="14"/>
  <c r="W69" i="14"/>
  <c r="Y68" i="14"/>
  <c r="W68" i="14"/>
  <c r="X68" i="14" s="1"/>
  <c r="Y67" i="14"/>
  <c r="X67" i="14"/>
  <c r="W67" i="14"/>
  <c r="Y66" i="14"/>
  <c r="W66" i="14"/>
  <c r="X66" i="14" s="1"/>
  <c r="Y65" i="14"/>
  <c r="X65" i="14"/>
  <c r="W65" i="14"/>
  <c r="Y64" i="14"/>
  <c r="W64" i="14"/>
  <c r="X64" i="14" s="1"/>
  <c r="Y63" i="14"/>
  <c r="W63" i="14"/>
  <c r="X63" i="14" s="1"/>
  <c r="AA62" i="14"/>
  <c r="Z62" i="14"/>
  <c r="Y62" i="14"/>
  <c r="X62" i="14"/>
  <c r="W62" i="14"/>
  <c r="V62" i="14"/>
  <c r="AA61" i="14"/>
  <c r="Z61" i="14"/>
  <c r="Y61" i="14"/>
  <c r="W61" i="14"/>
  <c r="X61" i="14" s="1"/>
  <c r="V61" i="14"/>
  <c r="AB61" i="14" s="1"/>
  <c r="AA60" i="14"/>
  <c r="Z60" i="14"/>
  <c r="Y60" i="14"/>
  <c r="X60" i="14"/>
  <c r="W60" i="14"/>
  <c r="V60" i="14"/>
  <c r="AA59" i="14"/>
  <c r="Z59" i="14"/>
  <c r="Y59" i="14"/>
  <c r="W59" i="14"/>
  <c r="X59" i="14" s="1"/>
  <c r="AB59" i="14" s="1"/>
  <c r="V59" i="14"/>
  <c r="AB58" i="14"/>
  <c r="AA58" i="14"/>
  <c r="Z58" i="14"/>
  <c r="Y58" i="14"/>
  <c r="X58" i="14"/>
  <c r="W58" i="14"/>
  <c r="V58" i="14"/>
  <c r="AA57" i="14"/>
  <c r="Z57" i="14"/>
  <c r="Y57" i="14"/>
  <c r="W57" i="14"/>
  <c r="X57" i="14" s="1"/>
  <c r="V57" i="14"/>
  <c r="AA56" i="14"/>
  <c r="Z56" i="14"/>
  <c r="Y56" i="14"/>
  <c r="W56" i="14"/>
  <c r="X56" i="14" s="1"/>
  <c r="AB56" i="14" s="1"/>
  <c r="V56" i="14"/>
  <c r="AA55" i="14"/>
  <c r="Z55" i="14"/>
  <c r="Y55" i="14"/>
  <c r="W55" i="14"/>
  <c r="X55" i="14" s="1"/>
  <c r="V55" i="14"/>
  <c r="AB55" i="14" s="1"/>
  <c r="AB54" i="14"/>
  <c r="AA54" i="14"/>
  <c r="Z54" i="14"/>
  <c r="Y54" i="14"/>
  <c r="X54" i="14"/>
  <c r="W54" i="14"/>
  <c r="V54" i="14"/>
  <c r="AA53" i="14"/>
  <c r="Z53" i="14"/>
  <c r="Y53" i="14"/>
  <c r="W53" i="14"/>
  <c r="X53" i="14" s="1"/>
  <c r="V53" i="14"/>
  <c r="AA52" i="14"/>
  <c r="Z52" i="14"/>
  <c r="Y52" i="14"/>
  <c r="W52" i="14"/>
  <c r="X52" i="14" s="1"/>
  <c r="V52" i="14"/>
  <c r="AA51" i="14"/>
  <c r="Z51" i="14"/>
  <c r="Y51" i="14"/>
  <c r="X51" i="14"/>
  <c r="AB51" i="14" s="1"/>
  <c r="W51" i="14"/>
  <c r="V51" i="14"/>
  <c r="T50" i="14"/>
  <c r="S50" i="14"/>
  <c r="Y50" i="14" s="1"/>
  <c r="R50" i="14"/>
  <c r="Q50" i="14"/>
  <c r="O50" i="14"/>
  <c r="N50" i="14"/>
  <c r="M50" i="14"/>
  <c r="L50" i="14"/>
  <c r="K50" i="14"/>
  <c r="J50" i="14"/>
  <c r="I50" i="14"/>
  <c r="H50" i="14"/>
  <c r="G50" i="14"/>
  <c r="F50" i="14"/>
  <c r="Y49" i="14"/>
  <c r="W49" i="14"/>
  <c r="X49" i="14" s="1"/>
  <c r="Y48" i="14"/>
  <c r="W48" i="14"/>
  <c r="X48" i="14" s="1"/>
  <c r="Y47" i="14"/>
  <c r="X47" i="14"/>
  <c r="W47" i="14"/>
  <c r="Y46" i="14"/>
  <c r="W46" i="14"/>
  <c r="X46" i="14" s="1"/>
  <c r="Y45" i="14"/>
  <c r="W45" i="14"/>
  <c r="X45" i="14" s="1"/>
  <c r="R34" i="14"/>
  <c r="Z33" i="14"/>
  <c r="V33" i="14"/>
  <c r="U33" i="14"/>
  <c r="S33" i="14"/>
  <c r="W33" i="14" s="1"/>
  <c r="X33" i="14" s="1"/>
  <c r="Q32" i="14"/>
  <c r="P32" i="14"/>
  <c r="O32" i="14"/>
  <c r="N32" i="14"/>
  <c r="M32" i="14"/>
  <c r="L32" i="14"/>
  <c r="K32" i="14"/>
  <c r="K5" i="14" s="1"/>
  <c r="J32" i="14"/>
  <c r="I32" i="14"/>
  <c r="H32" i="14"/>
  <c r="G32" i="14"/>
  <c r="F32" i="14"/>
  <c r="U21" i="14"/>
  <c r="S21" i="14"/>
  <c r="R21" i="14"/>
  <c r="R22" i="14" s="1"/>
  <c r="R23" i="14" s="1"/>
  <c r="Z20" i="14"/>
  <c r="V20" i="14"/>
  <c r="S20" i="14"/>
  <c r="Y20" i="14" s="1"/>
  <c r="Q19" i="14"/>
  <c r="P19" i="14"/>
  <c r="O19" i="14"/>
  <c r="N19" i="14"/>
  <c r="M19" i="14"/>
  <c r="L19" i="14"/>
  <c r="K19" i="14"/>
  <c r="J19" i="14"/>
  <c r="I19" i="14"/>
  <c r="H19" i="14"/>
  <c r="G19" i="14"/>
  <c r="G5" i="14" s="1"/>
  <c r="F19" i="14"/>
  <c r="V9" i="14"/>
  <c r="F9" i="14"/>
  <c r="S9" i="14" s="1"/>
  <c r="Z8" i="14"/>
  <c r="S8" i="14"/>
  <c r="R8" i="14"/>
  <c r="R9" i="14" s="1"/>
  <c r="R10" i="14" s="1"/>
  <c r="M8" i="14"/>
  <c r="F8" i="14"/>
  <c r="Z7" i="14"/>
  <c r="Y7" i="14"/>
  <c r="W7" i="14"/>
  <c r="X7" i="14" s="1"/>
  <c r="U7" i="14"/>
  <c r="S7" i="14"/>
  <c r="V7" i="14" s="1"/>
  <c r="Q6" i="14"/>
  <c r="P6" i="14"/>
  <c r="P5" i="14" s="1"/>
  <c r="O6" i="14"/>
  <c r="N6" i="14"/>
  <c r="N5" i="14" s="1"/>
  <c r="L6" i="14"/>
  <c r="L5" i="14" s="1"/>
  <c r="K6" i="14"/>
  <c r="J6" i="14"/>
  <c r="I6" i="14"/>
  <c r="H6" i="14"/>
  <c r="H5" i="14" s="1"/>
  <c r="G6" i="14"/>
  <c r="Q5" i="14"/>
  <c r="O5" i="14"/>
  <c r="J5" i="14"/>
  <c r="F114" i="13"/>
  <c r="Q115" i="13" s="1"/>
  <c r="R115" i="13" s="1"/>
  <c r="F113" i="13"/>
  <c r="Q114" i="13" s="1"/>
  <c r="R114" i="13" s="1"/>
  <c r="R112" i="13"/>
  <c r="Q112" i="13"/>
  <c r="O112" i="13"/>
  <c r="M112" i="13"/>
  <c r="F112" i="13"/>
  <c r="Q113" i="13" s="1"/>
  <c r="R113" i="13" s="1"/>
  <c r="AB111" i="13"/>
  <c r="X111" i="13"/>
  <c r="W111" i="13"/>
  <c r="U111" i="13"/>
  <c r="AA111" i="13" s="1"/>
  <c r="T110" i="13"/>
  <c r="S110" i="13"/>
  <c r="P110" i="13"/>
  <c r="N110" i="13"/>
  <c r="L110" i="13"/>
  <c r="K110" i="13"/>
  <c r="J110" i="13"/>
  <c r="I110" i="13"/>
  <c r="H110" i="13"/>
  <c r="G110" i="13"/>
  <c r="R101" i="13"/>
  <c r="F101" i="13"/>
  <c r="F100" i="13"/>
  <c r="Q101" i="13" s="1"/>
  <c r="R99" i="13"/>
  <c r="Q99" i="13"/>
  <c r="O99" i="13"/>
  <c r="M99" i="13"/>
  <c r="F99" i="13"/>
  <c r="Q100" i="13" s="1"/>
  <c r="R100" i="13" s="1"/>
  <c r="U98" i="13"/>
  <c r="T97" i="13"/>
  <c r="S97" i="13"/>
  <c r="P97" i="13"/>
  <c r="N97" i="13"/>
  <c r="L97" i="13"/>
  <c r="K97" i="13"/>
  <c r="J97" i="13"/>
  <c r="I97" i="13"/>
  <c r="H97" i="13"/>
  <c r="G97" i="13"/>
  <c r="R89" i="13"/>
  <c r="Q88" i="13"/>
  <c r="R88" i="13" s="1"/>
  <c r="F88" i="13"/>
  <c r="Q89" i="13" s="1"/>
  <c r="R87" i="13"/>
  <c r="Q87" i="13"/>
  <c r="F87" i="13"/>
  <c r="Q86" i="13"/>
  <c r="R86" i="13" s="1"/>
  <c r="O86" i="13"/>
  <c r="O87" i="13" s="1"/>
  <c r="O88" i="13" s="1"/>
  <c r="O89" i="13" s="1"/>
  <c r="O90" i="13" s="1"/>
  <c r="O91" i="13" s="1"/>
  <c r="O92" i="13" s="1"/>
  <c r="O93" i="13" s="1"/>
  <c r="O94" i="13" s="1"/>
  <c r="O95" i="13" s="1"/>
  <c r="O96" i="13" s="1"/>
  <c r="M86" i="13"/>
  <c r="U86" i="13" s="1"/>
  <c r="F86" i="13"/>
  <c r="W85" i="13"/>
  <c r="U85" i="13"/>
  <c r="T84" i="13"/>
  <c r="S84" i="13"/>
  <c r="P84" i="13"/>
  <c r="N84" i="13"/>
  <c r="L84" i="13"/>
  <c r="K84" i="13"/>
  <c r="J84" i="13"/>
  <c r="I84" i="13"/>
  <c r="H84" i="13"/>
  <c r="G84" i="13"/>
  <c r="O75" i="13"/>
  <c r="O76" i="13" s="1"/>
  <c r="O77" i="13" s="1"/>
  <c r="O78" i="13" s="1"/>
  <c r="O79" i="13" s="1"/>
  <c r="O80" i="13" s="1"/>
  <c r="O81" i="13" s="1"/>
  <c r="O82" i="13" s="1"/>
  <c r="O83" i="13" s="1"/>
  <c r="F75" i="13"/>
  <c r="O74" i="13"/>
  <c r="F74" i="13"/>
  <c r="R73" i="13"/>
  <c r="Q73" i="13"/>
  <c r="O73" i="13"/>
  <c r="F73" i="13"/>
  <c r="U72" i="13"/>
  <c r="T71" i="13"/>
  <c r="S71" i="13"/>
  <c r="P71" i="13"/>
  <c r="N71" i="13"/>
  <c r="L71" i="13"/>
  <c r="K71" i="13"/>
  <c r="J71" i="13"/>
  <c r="I71" i="13"/>
  <c r="H71" i="13"/>
  <c r="G71" i="13"/>
  <c r="R68" i="13"/>
  <c r="F68" i="13"/>
  <c r="Q69" i="13" s="1"/>
  <c r="R69" i="13" s="1"/>
  <c r="R67" i="13"/>
  <c r="F67" i="13"/>
  <c r="Q68" i="13" s="1"/>
  <c r="F66" i="13"/>
  <c r="Q67" i="13" s="1"/>
  <c r="F65" i="13"/>
  <c r="Q66" i="13" s="1"/>
  <c r="R66" i="13" s="1"/>
  <c r="F64" i="13"/>
  <c r="Q65" i="13" s="1"/>
  <c r="R65" i="13" s="1"/>
  <c r="F63" i="13"/>
  <c r="Q64" i="13" s="1"/>
  <c r="R64" i="13" s="1"/>
  <c r="F62" i="13"/>
  <c r="Q63" i="13" s="1"/>
  <c r="R63" i="13" s="1"/>
  <c r="F61" i="13"/>
  <c r="Q62" i="13" s="1"/>
  <c r="R62" i="13" s="1"/>
  <c r="Q60" i="13"/>
  <c r="R60" i="13" s="1"/>
  <c r="O60" i="13"/>
  <c r="O61" i="13" s="1"/>
  <c r="F60" i="13"/>
  <c r="AB59" i="13"/>
  <c r="AA59" i="13"/>
  <c r="Y59" i="13"/>
  <c r="X59" i="13"/>
  <c r="W59" i="13"/>
  <c r="U59" i="13"/>
  <c r="T58" i="13"/>
  <c r="S58" i="13"/>
  <c r="P58" i="13"/>
  <c r="N58" i="13"/>
  <c r="L58" i="13"/>
  <c r="K58" i="13"/>
  <c r="J58" i="13"/>
  <c r="I58" i="13"/>
  <c r="H58" i="13"/>
  <c r="G58" i="13"/>
  <c r="O56" i="13"/>
  <c r="O53" i="13"/>
  <c r="O52" i="13"/>
  <c r="O57" i="13" s="1"/>
  <c r="O51" i="13"/>
  <c r="R50" i="13"/>
  <c r="Q50" i="13"/>
  <c r="O50" i="13"/>
  <c r="Q49" i="13"/>
  <c r="R49" i="13" s="1"/>
  <c r="O49" i="13"/>
  <c r="F49" i="13"/>
  <c r="F50" i="13" s="1"/>
  <c r="Q48" i="13"/>
  <c r="R48" i="13" s="1"/>
  <c r="O48" i="13"/>
  <c r="F48" i="13"/>
  <c r="U48" i="13" s="1"/>
  <c r="R47" i="13"/>
  <c r="Q47" i="13"/>
  <c r="O47" i="13"/>
  <c r="M47" i="13"/>
  <c r="F47" i="13"/>
  <c r="U46" i="13"/>
  <c r="AB46" i="13" s="1"/>
  <c r="T45" i="13"/>
  <c r="S45" i="13"/>
  <c r="P45" i="13"/>
  <c r="N45" i="13"/>
  <c r="L45" i="13"/>
  <c r="K45" i="13"/>
  <c r="J45" i="13"/>
  <c r="I45" i="13"/>
  <c r="H45" i="13"/>
  <c r="G45" i="13"/>
  <c r="O44" i="13"/>
  <c r="O40" i="13"/>
  <c r="Q39" i="13"/>
  <c r="R39" i="13" s="1"/>
  <c r="O39" i="13"/>
  <c r="O41" i="13" s="1"/>
  <c r="F39" i="13"/>
  <c r="O38" i="13"/>
  <c r="F38" i="13"/>
  <c r="O37" i="13"/>
  <c r="F37" i="13"/>
  <c r="R36" i="13"/>
  <c r="U36" i="13" s="1"/>
  <c r="O36" i="13"/>
  <c r="F36" i="13"/>
  <c r="Q37" i="13" s="1"/>
  <c r="R37" i="13" s="1"/>
  <c r="R35" i="13"/>
  <c r="Q35" i="13"/>
  <c r="O35" i="13"/>
  <c r="F35" i="13"/>
  <c r="Q36" i="13" s="1"/>
  <c r="Q34" i="13"/>
  <c r="R34" i="13" s="1"/>
  <c r="O34" i="13"/>
  <c r="M34" i="13"/>
  <c r="F34" i="13"/>
  <c r="U33" i="13"/>
  <c r="T32" i="13"/>
  <c r="S32" i="13"/>
  <c r="P32" i="13"/>
  <c r="N32" i="13"/>
  <c r="L32" i="13"/>
  <c r="K32" i="13"/>
  <c r="J32" i="13"/>
  <c r="I32" i="13"/>
  <c r="H32" i="13"/>
  <c r="G32" i="13"/>
  <c r="F23" i="13"/>
  <c r="F22" i="13"/>
  <c r="Q21" i="13"/>
  <c r="R21" i="13" s="1"/>
  <c r="O21" i="13"/>
  <c r="F21" i="13"/>
  <c r="AB20" i="13"/>
  <c r="AA20" i="13"/>
  <c r="Z20" i="13"/>
  <c r="Y20" i="13"/>
  <c r="X20" i="13"/>
  <c r="W20" i="13"/>
  <c r="U20" i="13"/>
  <c r="T19" i="13"/>
  <c r="S19" i="13"/>
  <c r="P19" i="13"/>
  <c r="N19" i="13"/>
  <c r="L19" i="13"/>
  <c r="K19" i="13"/>
  <c r="J19" i="13"/>
  <c r="J5" i="13" s="1"/>
  <c r="I19" i="13"/>
  <c r="H19" i="13"/>
  <c r="H5" i="13" s="1"/>
  <c r="G19" i="13"/>
  <c r="Q13" i="13"/>
  <c r="F13" i="13"/>
  <c r="C12" i="13"/>
  <c r="F11" i="13"/>
  <c r="Q10" i="13"/>
  <c r="S10" i="13" s="1"/>
  <c r="F10" i="13"/>
  <c r="Q11" i="13" s="1"/>
  <c r="F9" i="13"/>
  <c r="Q8" i="13"/>
  <c r="S8" i="13" s="1"/>
  <c r="M8" i="13"/>
  <c r="F8" i="13"/>
  <c r="Q9" i="13" s="1"/>
  <c r="S9" i="13" s="1"/>
  <c r="U7" i="13"/>
  <c r="AB6" i="13"/>
  <c r="AA6" i="13"/>
  <c r="T6" i="13"/>
  <c r="T5" i="13" s="1"/>
  <c r="P6" i="13"/>
  <c r="O6" i="13"/>
  <c r="N6" i="13"/>
  <c r="L6" i="13"/>
  <c r="K6" i="13"/>
  <c r="K5" i="13" s="1"/>
  <c r="J6" i="13"/>
  <c r="I6" i="13"/>
  <c r="H6" i="13"/>
  <c r="G6" i="13"/>
  <c r="V5" i="13"/>
  <c r="Q5" i="13"/>
  <c r="P5" i="13"/>
  <c r="N5" i="13"/>
  <c r="L5" i="13"/>
  <c r="G5" i="13"/>
  <c r="N7" i="12"/>
  <c r="M7" i="12"/>
  <c r="L7" i="12"/>
  <c r="J7" i="12"/>
  <c r="I7" i="12"/>
  <c r="H7" i="12"/>
  <c r="J5" i="12"/>
  <c r="F5" i="12"/>
  <c r="F7" i="12" s="1"/>
  <c r="E5" i="12"/>
  <c r="E7" i="12" s="1"/>
  <c r="U41" i="11"/>
  <c r="T41" i="11"/>
  <c r="H41" i="11"/>
  <c r="K13" i="6" s="1"/>
  <c r="Q13" i="6" s="1"/>
  <c r="F13" i="6" s="1"/>
  <c r="G13" i="6" s="1"/>
  <c r="V40" i="11"/>
  <c r="I40" i="11"/>
  <c r="J39" i="11" s="1"/>
  <c r="V39" i="11"/>
  <c r="O39" i="11"/>
  <c r="V38" i="11"/>
  <c r="I38" i="11"/>
  <c r="V37" i="11"/>
  <c r="I37" i="11"/>
  <c r="J37" i="11" s="1"/>
  <c r="V36" i="11"/>
  <c r="I36" i="11"/>
  <c r="J35" i="11" s="1"/>
  <c r="V35" i="11"/>
  <c r="P35" i="11"/>
  <c r="O35" i="11"/>
  <c r="V34" i="11"/>
  <c r="I34" i="11"/>
  <c r="V33" i="11"/>
  <c r="P33" i="11"/>
  <c r="J33" i="11"/>
  <c r="O33" i="11" s="1"/>
  <c r="I33" i="11"/>
  <c r="V32" i="11"/>
  <c r="I32" i="11"/>
  <c r="V31" i="11"/>
  <c r="J31" i="11"/>
  <c r="V30" i="11"/>
  <c r="I30" i="11"/>
  <c r="V29" i="11"/>
  <c r="I29" i="11"/>
  <c r="J29" i="11" s="1"/>
  <c r="V28" i="11"/>
  <c r="I28" i="11"/>
  <c r="V27" i="11"/>
  <c r="J27" i="11"/>
  <c r="V26" i="11"/>
  <c r="I26" i="11"/>
  <c r="V25" i="11"/>
  <c r="J25" i="11"/>
  <c r="I25" i="11"/>
  <c r="V24" i="11"/>
  <c r="I24" i="11"/>
  <c r="J23" i="11" s="1"/>
  <c r="V23" i="11"/>
  <c r="P23" i="11"/>
  <c r="V22" i="11"/>
  <c r="I22" i="11"/>
  <c r="V21" i="11"/>
  <c r="P21" i="11"/>
  <c r="O21" i="11"/>
  <c r="N21" i="11"/>
  <c r="I21" i="11"/>
  <c r="J21" i="11" s="1"/>
  <c r="V20" i="11"/>
  <c r="I20" i="11"/>
  <c r="V19" i="11"/>
  <c r="P19" i="11"/>
  <c r="O19" i="11"/>
  <c r="J19" i="11"/>
  <c r="N19" i="11" s="1"/>
  <c r="V18" i="11"/>
  <c r="I18" i="11"/>
  <c r="V17" i="11"/>
  <c r="P17" i="11"/>
  <c r="K17" i="11"/>
  <c r="J17" i="11"/>
  <c r="O17" i="11" s="1"/>
  <c r="I17" i="11"/>
  <c r="V16" i="11"/>
  <c r="I16" i="11"/>
  <c r="J15" i="11" s="1"/>
  <c r="V15" i="11"/>
  <c r="V14" i="11"/>
  <c r="I14" i="11"/>
  <c r="G14" i="11"/>
  <c r="V13" i="11"/>
  <c r="I13" i="11"/>
  <c r="G13" i="11"/>
  <c r="G41" i="11" s="1"/>
  <c r="K11" i="6" s="1"/>
  <c r="Q11" i="6" s="1"/>
  <c r="F11" i="6" s="1"/>
  <c r="V12" i="11"/>
  <c r="I12" i="11"/>
  <c r="U11" i="11"/>
  <c r="T11" i="11"/>
  <c r="V11" i="11" s="1"/>
  <c r="I11" i="11"/>
  <c r="J11" i="11" s="1"/>
  <c r="V10" i="11"/>
  <c r="H10" i="11"/>
  <c r="G10" i="11"/>
  <c r="F10" i="11"/>
  <c r="U9" i="11"/>
  <c r="T9" i="11"/>
  <c r="V9" i="11" s="1"/>
  <c r="H9" i="11"/>
  <c r="G9" i="11"/>
  <c r="F9" i="11"/>
  <c r="F41" i="11" s="1"/>
  <c r="Q9" i="6" s="1"/>
  <c r="F9" i="6" s="1"/>
  <c r="P7" i="11"/>
  <c r="O7" i="11"/>
  <c r="N7" i="11"/>
  <c r="J7" i="11"/>
  <c r="L7" i="11" s="1"/>
  <c r="M5" i="10"/>
  <c r="L5" i="10"/>
  <c r="E5" i="10"/>
  <c r="D5" i="10"/>
  <c r="D28" i="9"/>
  <c r="F21" i="9"/>
  <c r="D17" i="9"/>
  <c r="D8" i="9"/>
  <c r="F77" i="8"/>
  <c r="G77" i="8" s="1"/>
  <c r="H77" i="8" s="1"/>
  <c r="Q76" i="8"/>
  <c r="F76" i="8" s="1"/>
  <c r="G76" i="8" s="1"/>
  <c r="H76" i="8" s="1"/>
  <c r="F74" i="8"/>
  <c r="G74" i="8" s="1"/>
  <c r="Q73" i="8"/>
  <c r="F73" i="8"/>
  <c r="G73" i="8" s="1"/>
  <c r="Q72" i="8"/>
  <c r="F72" i="8"/>
  <c r="G72" i="8" s="1"/>
  <c r="F71" i="8"/>
  <c r="G71" i="8" s="1"/>
  <c r="H71" i="8" s="1"/>
  <c r="H70" i="8"/>
  <c r="F70" i="8"/>
  <c r="F69" i="8"/>
  <c r="G69" i="8" s="1"/>
  <c r="H69" i="8" s="1"/>
  <c r="F68" i="8"/>
  <c r="G68" i="8" s="1"/>
  <c r="H68" i="8" s="1"/>
  <c r="F67" i="8"/>
  <c r="G67" i="8" s="1"/>
  <c r="H67" i="8" s="1"/>
  <c r="F66" i="8"/>
  <c r="G66" i="8" s="1"/>
  <c r="H66" i="8" s="1"/>
  <c r="F65" i="8"/>
  <c r="G65" i="8" s="1"/>
  <c r="H65" i="8" s="1"/>
  <c r="F64" i="8"/>
  <c r="G64" i="8" s="1"/>
  <c r="H64" i="8" s="1"/>
  <c r="F63" i="8"/>
  <c r="G63" i="8" s="1"/>
  <c r="H63" i="8" s="1"/>
  <c r="Q62" i="8"/>
  <c r="F62" i="8" s="1"/>
  <c r="G62" i="8" s="1"/>
  <c r="H62" i="8" s="1"/>
  <c r="Q61" i="8"/>
  <c r="F61" i="8" s="1"/>
  <c r="G61" i="8" s="1"/>
  <c r="H61" i="8" s="1"/>
  <c r="Q60" i="8"/>
  <c r="F60" i="8" s="1"/>
  <c r="G60" i="8" s="1"/>
  <c r="H60" i="8" s="1"/>
  <c r="Q59" i="8"/>
  <c r="F59" i="8" s="1"/>
  <c r="G59" i="8" s="1"/>
  <c r="H59" i="8" s="1"/>
  <c r="E58" i="8"/>
  <c r="E51" i="8" s="1"/>
  <c r="Q57" i="8"/>
  <c r="F57" i="8" s="1"/>
  <c r="G57" i="8" s="1"/>
  <c r="Q56" i="8"/>
  <c r="F56" i="8" s="1"/>
  <c r="G56" i="8" s="1"/>
  <c r="Q55" i="8"/>
  <c r="F55" i="8"/>
  <c r="G55" i="8" s="1"/>
  <c r="Q54" i="8"/>
  <c r="F54" i="8"/>
  <c r="G54" i="8" s="1"/>
  <c r="Q53" i="8"/>
  <c r="F53" i="8" s="1"/>
  <c r="G53" i="8" s="1"/>
  <c r="Q50" i="8"/>
  <c r="F50" i="8"/>
  <c r="G50" i="8" s="1"/>
  <c r="Q49" i="8"/>
  <c r="F49" i="8"/>
  <c r="G49" i="8" s="1"/>
  <c r="G48" i="8"/>
  <c r="F48" i="8"/>
  <c r="F45" i="8"/>
  <c r="G45" i="8" s="1"/>
  <c r="F44" i="8"/>
  <c r="G44" i="8" s="1"/>
  <c r="G43" i="8"/>
  <c r="F43" i="8"/>
  <c r="F42" i="8"/>
  <c r="G42" i="8" s="1"/>
  <c r="H42" i="8" s="1"/>
  <c r="F41" i="8"/>
  <c r="F40" i="8"/>
  <c r="G40" i="8" s="1"/>
  <c r="Q39" i="8"/>
  <c r="E39" i="8"/>
  <c r="Q38" i="8"/>
  <c r="G38" i="8"/>
  <c r="H38" i="8" s="1"/>
  <c r="G37" i="8"/>
  <c r="H37" i="8" s="1"/>
  <c r="Q36" i="8"/>
  <c r="Q34" i="8" s="1"/>
  <c r="G36" i="8"/>
  <c r="H36" i="8" s="1"/>
  <c r="Q35" i="8"/>
  <c r="G35" i="8"/>
  <c r="H35" i="8" s="1"/>
  <c r="F34" i="8"/>
  <c r="G34" i="8" s="1"/>
  <c r="H34" i="8" s="1"/>
  <c r="G33" i="8"/>
  <c r="H33" i="8" s="1"/>
  <c r="F32" i="8"/>
  <c r="G32" i="8" s="1"/>
  <c r="H32" i="8" s="1"/>
  <c r="F31" i="8"/>
  <c r="G31" i="8" s="1"/>
  <c r="H31" i="8" s="1"/>
  <c r="K30" i="8"/>
  <c r="K31" i="8" s="1"/>
  <c r="G30" i="8" s="1"/>
  <c r="H30" i="8" s="1"/>
  <c r="H29" i="8"/>
  <c r="Q28" i="8"/>
  <c r="K29" i="8" s="1"/>
  <c r="Q29" i="8" s="1"/>
  <c r="F28" i="8"/>
  <c r="F27" i="8" s="1"/>
  <c r="G27" i="8" s="1"/>
  <c r="H27" i="8" s="1"/>
  <c r="Q26" i="8"/>
  <c r="G26" i="8"/>
  <c r="H26" i="8" s="1"/>
  <c r="G25" i="8"/>
  <c r="H25" i="8" s="1"/>
  <c r="G24" i="8"/>
  <c r="H24" i="8" s="1"/>
  <c r="G23" i="8" s="1"/>
  <c r="H23" i="8" s="1"/>
  <c r="G22" i="8"/>
  <c r="G21" i="8" s="1"/>
  <c r="H21" i="8" s="1"/>
  <c r="G20" i="8" s="1"/>
  <c r="H20" i="8" s="1"/>
  <c r="G19" i="8" s="1"/>
  <c r="H19" i="8" s="1"/>
  <c r="G18" i="8"/>
  <c r="H18" i="8" s="1"/>
  <c r="G17" i="8"/>
  <c r="H17" i="8" s="1"/>
  <c r="G16" i="8"/>
  <c r="G15" i="8" s="1"/>
  <c r="H15" i="8" s="1"/>
  <c r="G14" i="8" s="1"/>
  <c r="H14" i="8" s="1"/>
  <c r="G13" i="8" s="1"/>
  <c r="H13" i="8" s="1"/>
  <c r="Q12" i="8"/>
  <c r="Q11" i="8"/>
  <c r="F11" i="8" s="1"/>
  <c r="G11" i="8" s="1"/>
  <c r="H11" i="8" s="1"/>
  <c r="G10" i="8" s="1"/>
  <c r="H10" i="8" s="1"/>
  <c r="Q9" i="8"/>
  <c r="G9" i="8"/>
  <c r="H9" i="8" s="1"/>
  <c r="E8" i="8"/>
  <c r="E7" i="8" s="1"/>
  <c r="E6" i="8" s="1"/>
  <c r="W68" i="7"/>
  <c r="G68" i="7"/>
  <c r="H68" i="7" s="1"/>
  <c r="F68" i="7"/>
  <c r="F67" i="7" s="1"/>
  <c r="W67" i="7"/>
  <c r="Q67" i="7"/>
  <c r="E67" i="7"/>
  <c r="E66" i="7" s="1"/>
  <c r="W66" i="7"/>
  <c r="Q66" i="7"/>
  <c r="W65" i="7"/>
  <c r="F65" i="7"/>
  <c r="G65" i="7" s="1"/>
  <c r="H65" i="7" s="1"/>
  <c r="W64" i="7"/>
  <c r="Q64" i="7"/>
  <c r="Q63" i="7" s="1"/>
  <c r="F64" i="7"/>
  <c r="F63" i="7" s="1"/>
  <c r="E64" i="7"/>
  <c r="E63" i="7" s="1"/>
  <c r="W63" i="7"/>
  <c r="Q62" i="7"/>
  <c r="F62" i="7"/>
  <c r="G62" i="7" s="1"/>
  <c r="H62" i="7" s="1"/>
  <c r="Q61" i="7"/>
  <c r="F61" i="7" s="1"/>
  <c r="Q60" i="7"/>
  <c r="F60" i="7" s="1"/>
  <c r="G60" i="7" s="1"/>
  <c r="H60" i="7" s="1"/>
  <c r="W59" i="7"/>
  <c r="Q59" i="7"/>
  <c r="F59" i="7" s="1"/>
  <c r="W58" i="7"/>
  <c r="E58" i="7"/>
  <c r="W57" i="7"/>
  <c r="Q57" i="7"/>
  <c r="F57" i="7" s="1"/>
  <c r="G57" i="7" s="1"/>
  <c r="H57" i="7" s="1"/>
  <c r="W56" i="7"/>
  <c r="Q56" i="7"/>
  <c r="F56" i="7" s="1"/>
  <c r="G56" i="7" s="1"/>
  <c r="H56" i="7" s="1"/>
  <c r="W55" i="7"/>
  <c r="Q55" i="7"/>
  <c r="F55" i="7" s="1"/>
  <c r="G55" i="7" s="1"/>
  <c r="H55" i="7" s="1"/>
  <c r="W54" i="7"/>
  <c r="Q54" i="7"/>
  <c r="F54" i="7" s="1"/>
  <c r="G54" i="7" s="1"/>
  <c r="H54" i="7" s="1"/>
  <c r="Z58" i="7" s="1"/>
  <c r="W53" i="7"/>
  <c r="Q53" i="7"/>
  <c r="F53" i="7" s="1"/>
  <c r="W52" i="7"/>
  <c r="E52" i="7"/>
  <c r="E51" i="7" s="1"/>
  <c r="W51" i="7"/>
  <c r="Q50" i="7"/>
  <c r="Q47" i="7" s="1"/>
  <c r="Q46" i="7" s="1"/>
  <c r="F50" i="7"/>
  <c r="T50" i="7" s="1"/>
  <c r="W50" i="7" s="1"/>
  <c r="W49" i="7"/>
  <c r="Q49" i="7"/>
  <c r="F49" i="7"/>
  <c r="T48" i="7"/>
  <c r="W48" i="7" s="1"/>
  <c r="F48" i="7"/>
  <c r="G48" i="7" s="1"/>
  <c r="H48" i="7" s="1"/>
  <c r="W47" i="7"/>
  <c r="E47" i="7"/>
  <c r="E46" i="7" s="1"/>
  <c r="W46" i="7"/>
  <c r="W45" i="7"/>
  <c r="F45" i="7"/>
  <c r="G45" i="7" s="1"/>
  <c r="H45" i="7" s="1"/>
  <c r="W44" i="7"/>
  <c r="G44" i="7"/>
  <c r="H44" i="7" s="1"/>
  <c r="F44" i="7"/>
  <c r="W43" i="7"/>
  <c r="F43" i="7"/>
  <c r="G43" i="7" s="1"/>
  <c r="H43" i="7" s="1"/>
  <c r="W42" i="7"/>
  <c r="F42" i="7"/>
  <c r="G42" i="7" s="1"/>
  <c r="H42" i="7" s="1"/>
  <c r="W41" i="7"/>
  <c r="F41" i="7"/>
  <c r="W40" i="7"/>
  <c r="F40" i="7"/>
  <c r="G40" i="7" s="1"/>
  <c r="H40" i="7" s="1"/>
  <c r="W39" i="7"/>
  <c r="Q39" i="7"/>
  <c r="E39" i="7"/>
  <c r="W38" i="7"/>
  <c r="Q38" i="7"/>
  <c r="F38" i="7" s="1"/>
  <c r="G38" i="7" s="1"/>
  <c r="H38" i="7" s="1"/>
  <c r="W37" i="7"/>
  <c r="G37" i="7"/>
  <c r="H37" i="7" s="1"/>
  <c r="Q36" i="7"/>
  <c r="F36" i="7" s="1"/>
  <c r="W35" i="7"/>
  <c r="Q35" i="7"/>
  <c r="F35" i="7"/>
  <c r="G35" i="7" s="1"/>
  <c r="H35" i="7" s="1"/>
  <c r="W34" i="7"/>
  <c r="E34" i="7"/>
  <c r="T33" i="7"/>
  <c r="W33" i="7" s="1"/>
  <c r="G33" i="7"/>
  <c r="T32" i="7" s="1"/>
  <c r="H32" i="7"/>
  <c r="T31" i="7" s="1"/>
  <c r="H31" i="7"/>
  <c r="S30" i="7"/>
  <c r="K30" i="7"/>
  <c r="K31" i="7" s="1"/>
  <c r="K32" i="7" s="1"/>
  <c r="H30" i="7"/>
  <c r="H29" i="7"/>
  <c r="S28" i="7"/>
  <c r="Q27" i="7" s="1"/>
  <c r="F27" i="7" s="1"/>
  <c r="G27" i="7" s="1"/>
  <c r="H27" i="7" s="1"/>
  <c r="G26" i="7" s="1"/>
  <c r="H26" i="7" s="1"/>
  <c r="H28" i="7"/>
  <c r="G25" i="7"/>
  <c r="H25" i="7" s="1"/>
  <c r="H24" i="7"/>
  <c r="G24" i="7"/>
  <c r="G23" i="7"/>
  <c r="H23" i="7" s="1"/>
  <c r="G22" i="7"/>
  <c r="H22" i="7" s="1"/>
  <c r="G21" i="7"/>
  <c r="H21" i="7" s="1"/>
  <c r="G20" i="7"/>
  <c r="H20" i="7" s="1"/>
  <c r="G19" i="7"/>
  <c r="H19" i="7" s="1"/>
  <c r="H18" i="7"/>
  <c r="G18" i="7"/>
  <c r="H17" i="7"/>
  <c r="G17" i="7"/>
  <c r="G16" i="7"/>
  <c r="H16" i="7" s="1"/>
  <c r="G15" i="7"/>
  <c r="H15" i="7" s="1"/>
  <c r="G14" i="7"/>
  <c r="H14" i="7" s="1"/>
  <c r="G13" i="7"/>
  <c r="H13" i="7" s="1"/>
  <c r="W12" i="7"/>
  <c r="V12" i="7"/>
  <c r="Q12" i="7"/>
  <c r="G12" i="7"/>
  <c r="H12" i="7" s="1"/>
  <c r="E12" i="7"/>
  <c r="V11" i="7"/>
  <c r="W11" i="7" s="1"/>
  <c r="Q11" i="7"/>
  <c r="F11" i="7" s="1"/>
  <c r="G11" i="7" s="1"/>
  <c r="H11" i="7" s="1"/>
  <c r="V10" i="7"/>
  <c r="W10" i="7" s="1"/>
  <c r="G10" i="7"/>
  <c r="H10" i="7" s="1"/>
  <c r="Q9" i="7"/>
  <c r="V8" i="7"/>
  <c r="W8" i="7" s="1"/>
  <c r="E8" i="7"/>
  <c r="V7" i="7"/>
  <c r="V6" i="7" s="1"/>
  <c r="U6" i="7" s="1"/>
  <c r="F4" i="7"/>
  <c r="F4" i="8" s="1"/>
  <c r="F57" i="6"/>
  <c r="G57" i="6" s="1"/>
  <c r="Q56" i="6"/>
  <c r="Q55" i="6" s="1"/>
  <c r="F56" i="6"/>
  <c r="G56" i="6" s="1"/>
  <c r="F55" i="6"/>
  <c r="G55" i="6" s="1"/>
  <c r="F54" i="6"/>
  <c r="F53" i="6" s="1"/>
  <c r="Q53" i="6"/>
  <c r="Q52" i="6" s="1"/>
  <c r="F51" i="6"/>
  <c r="G51" i="6" s="1"/>
  <c r="Q50" i="6"/>
  <c r="F50" i="6" s="1"/>
  <c r="G50" i="6" s="1"/>
  <c r="Q49" i="6"/>
  <c r="F49" i="6" s="1"/>
  <c r="G49" i="6" s="1"/>
  <c r="Q48" i="6"/>
  <c r="F48" i="6" s="1"/>
  <c r="G48" i="6" s="1"/>
  <c r="Q47" i="6"/>
  <c r="F47" i="6" s="1"/>
  <c r="Q45" i="6"/>
  <c r="F45" i="6" s="1"/>
  <c r="G45" i="6" s="1"/>
  <c r="Q44" i="6"/>
  <c r="F44" i="6" s="1"/>
  <c r="G44" i="6" s="1"/>
  <c r="Q43" i="6"/>
  <c r="F43" i="6" s="1"/>
  <c r="G43" i="6" s="1"/>
  <c r="Q42" i="6"/>
  <c r="F42" i="6" s="1"/>
  <c r="G42" i="6" s="1"/>
  <c r="Q41" i="6"/>
  <c r="F41" i="6" s="1"/>
  <c r="Q38" i="6"/>
  <c r="F38" i="6"/>
  <c r="G38" i="6" s="1"/>
  <c r="Q37" i="6"/>
  <c r="Q35" i="6" s="1"/>
  <c r="Q34" i="6" s="1"/>
  <c r="F36" i="6"/>
  <c r="F33" i="6"/>
  <c r="G33" i="6" s="1"/>
  <c r="F32" i="6"/>
  <c r="G32" i="6" s="1"/>
  <c r="F31" i="6"/>
  <c r="G31" i="6" s="1"/>
  <c r="U30" i="6"/>
  <c r="F30" i="6"/>
  <c r="G30" i="6" s="1"/>
  <c r="U29" i="6"/>
  <c r="F29" i="6"/>
  <c r="G29" i="6" s="1"/>
  <c r="F28" i="6"/>
  <c r="G28" i="6" s="1"/>
  <c r="Q27" i="6"/>
  <c r="Q26" i="6"/>
  <c r="F26" i="6" s="1"/>
  <c r="G26" i="6" s="1"/>
  <c r="Q25" i="6"/>
  <c r="Q23" i="6" s="1"/>
  <c r="F25" i="6"/>
  <c r="G25" i="6" s="1"/>
  <c r="Q24" i="6"/>
  <c r="F24" i="6"/>
  <c r="G24" i="6" s="1"/>
  <c r="F22" i="6"/>
  <c r="G22" i="6" s="1"/>
  <c r="U20" i="6" s="1"/>
  <c r="U19" i="6" s="1"/>
  <c r="U18" i="6" s="1"/>
  <c r="Z17" i="6"/>
  <c r="U17" i="6" s="1"/>
  <c r="V17" i="6" s="1"/>
  <c r="X17" i="6" s="1"/>
  <c r="T7" i="6"/>
  <c r="T6" i="6"/>
  <c r="T8" i="6" s="1"/>
  <c r="E4" i="7" s="1"/>
  <c r="E4" i="8" s="1"/>
  <c r="H154" i="5"/>
  <c r="F13" i="9" s="1"/>
  <c r="E154" i="5"/>
  <c r="N153" i="5"/>
  <c r="F153" i="5"/>
  <c r="E153" i="5"/>
  <c r="U152" i="5"/>
  <c r="U151" i="5" s="1"/>
  <c r="K152" i="5"/>
  <c r="J152" i="5"/>
  <c r="J151" i="5" s="1"/>
  <c r="F22" i="9" s="1"/>
  <c r="I152" i="5"/>
  <c r="D152" i="5"/>
  <c r="D151" i="5" s="1"/>
  <c r="K151" i="5"/>
  <c r="I151" i="5"/>
  <c r="W150" i="5"/>
  <c r="Y150" i="5" s="1"/>
  <c r="N150" i="5"/>
  <c r="E150" i="5"/>
  <c r="X150" i="5" s="1"/>
  <c r="U149" i="5"/>
  <c r="K149" i="5"/>
  <c r="K148" i="5" s="1"/>
  <c r="F32" i="9" s="1"/>
  <c r="J149" i="5"/>
  <c r="J148" i="5" s="1"/>
  <c r="I149" i="5"/>
  <c r="H149" i="5"/>
  <c r="D149" i="5"/>
  <c r="U148" i="5"/>
  <c r="I148" i="5"/>
  <c r="H148" i="5"/>
  <c r="D148" i="5"/>
  <c r="U146" i="5"/>
  <c r="Y146" i="5" s="1"/>
  <c r="H146" i="5"/>
  <c r="W146" i="5" s="1"/>
  <c r="N145" i="5"/>
  <c r="U144" i="5"/>
  <c r="H144" i="5"/>
  <c r="E144" i="5" s="1"/>
  <c r="U143" i="5"/>
  <c r="U142" i="5"/>
  <c r="U141" i="5"/>
  <c r="U140" i="5"/>
  <c r="U139" i="5"/>
  <c r="U138" i="5" s="1"/>
  <c r="H138" i="5" s="1"/>
  <c r="N137" i="5"/>
  <c r="Y136" i="5"/>
  <c r="X136" i="5"/>
  <c r="W136" i="5"/>
  <c r="U136" i="5"/>
  <c r="F136" i="5"/>
  <c r="G136" i="5" s="1"/>
  <c r="E136" i="5"/>
  <c r="N135" i="5"/>
  <c r="W134" i="5"/>
  <c r="Y134" i="5" s="1"/>
  <c r="U134" i="5"/>
  <c r="F134" i="5"/>
  <c r="G134" i="5" s="1"/>
  <c r="N133" i="5"/>
  <c r="W132" i="5"/>
  <c r="X132" i="5" s="1"/>
  <c r="U132" i="5"/>
  <c r="Y132" i="5" s="1"/>
  <c r="F132" i="5"/>
  <c r="E132" i="5"/>
  <c r="N131" i="5"/>
  <c r="N130" i="5"/>
  <c r="Y129" i="5"/>
  <c r="W129" i="5"/>
  <c r="U129" i="5"/>
  <c r="E129" i="5"/>
  <c r="F129" i="5" s="1"/>
  <c r="N128" i="5"/>
  <c r="N127" i="5"/>
  <c r="N126" i="5"/>
  <c r="N125" i="5"/>
  <c r="N124" i="5"/>
  <c r="N123" i="5"/>
  <c r="N122" i="5"/>
  <c r="N121" i="5"/>
  <c r="N120" i="5"/>
  <c r="N119" i="5"/>
  <c r="X118" i="5"/>
  <c r="W118" i="5"/>
  <c r="U118" i="5"/>
  <c r="Y118" i="5" s="1"/>
  <c r="F118" i="5"/>
  <c r="G118" i="5" s="1"/>
  <c r="E118" i="5"/>
  <c r="N117" i="5"/>
  <c r="W116" i="5"/>
  <c r="Y116" i="5" s="1"/>
  <c r="U116" i="5"/>
  <c r="E116" i="5"/>
  <c r="F116" i="5" s="1"/>
  <c r="N115" i="5"/>
  <c r="W114" i="5"/>
  <c r="X114" i="5" s="1"/>
  <c r="U114" i="5"/>
  <c r="F114" i="5"/>
  <c r="E114" i="5"/>
  <c r="K113" i="5"/>
  <c r="F31" i="9" s="1"/>
  <c r="J113" i="5"/>
  <c r="F20" i="9" s="1"/>
  <c r="I113" i="5"/>
  <c r="D113" i="5"/>
  <c r="N112" i="5"/>
  <c r="N111" i="5"/>
  <c r="W110" i="5"/>
  <c r="U110" i="5"/>
  <c r="U94" i="5" s="1"/>
  <c r="F110" i="5"/>
  <c r="G110" i="5" s="1"/>
  <c r="E110" i="5"/>
  <c r="N109" i="5"/>
  <c r="N108" i="5"/>
  <c r="Y107" i="5"/>
  <c r="W107" i="5"/>
  <c r="U107" i="5"/>
  <c r="E107" i="5"/>
  <c r="L36" i="3" s="1"/>
  <c r="N106" i="5"/>
  <c r="U105" i="5"/>
  <c r="F105" i="5"/>
  <c r="N104" i="5"/>
  <c r="N103" i="5"/>
  <c r="N102" i="5"/>
  <c r="Y101" i="5"/>
  <c r="X101" i="5"/>
  <c r="W101" i="5"/>
  <c r="U101" i="5"/>
  <c r="F101" i="5"/>
  <c r="G101" i="5" s="1"/>
  <c r="E101" i="5"/>
  <c r="N100" i="5"/>
  <c r="N99" i="5"/>
  <c r="N98" i="5"/>
  <c r="N97" i="5"/>
  <c r="N96" i="5"/>
  <c r="W95" i="5"/>
  <c r="U95" i="5"/>
  <c r="E95" i="5"/>
  <c r="X95" i="5" s="1"/>
  <c r="K94" i="5"/>
  <c r="F30" i="9" s="1"/>
  <c r="J94" i="5"/>
  <c r="F19" i="9" s="1"/>
  <c r="I94" i="5"/>
  <c r="H94" i="5"/>
  <c r="F10" i="9" s="1"/>
  <c r="D94" i="5"/>
  <c r="D93" i="5" s="1"/>
  <c r="D6" i="5" s="1"/>
  <c r="I93" i="5"/>
  <c r="N92" i="5"/>
  <c r="N91" i="5"/>
  <c r="N90" i="5"/>
  <c r="N89" i="5"/>
  <c r="N88" i="5"/>
  <c r="N87" i="5"/>
  <c r="N86" i="5"/>
  <c r="N85" i="5"/>
  <c r="X84" i="5"/>
  <c r="W84" i="5"/>
  <c r="U84" i="5"/>
  <c r="Y84" i="5" s="1"/>
  <c r="F84" i="5"/>
  <c r="G84" i="5" s="1"/>
  <c r="E84" i="5"/>
  <c r="U83" i="5"/>
  <c r="U82" i="5"/>
  <c r="U77" i="5" s="1"/>
  <c r="U81" i="5"/>
  <c r="U80" i="5"/>
  <c r="U79" i="5"/>
  <c r="U78" i="5"/>
  <c r="W77" i="5"/>
  <c r="X77" i="5" s="1"/>
  <c r="F77" i="5"/>
  <c r="E77" i="5"/>
  <c r="X76" i="5"/>
  <c r="W76" i="5"/>
  <c r="U76" i="5"/>
  <c r="Y76" i="5" s="1"/>
  <c r="F76" i="5"/>
  <c r="E76" i="5"/>
  <c r="K75" i="5"/>
  <c r="J75" i="5"/>
  <c r="F18" i="9" s="1"/>
  <c r="I75" i="5"/>
  <c r="H75" i="5"/>
  <c r="W75" i="5" s="1"/>
  <c r="E75" i="5"/>
  <c r="F75" i="5" s="1"/>
  <c r="G75" i="5" s="1"/>
  <c r="D75" i="5"/>
  <c r="K74" i="5"/>
  <c r="F29" i="9" s="1"/>
  <c r="J74" i="5"/>
  <c r="I74" i="5"/>
  <c r="H74" i="5"/>
  <c r="F9" i="9" s="1"/>
  <c r="E74" i="5"/>
  <c r="F74" i="5" s="1"/>
  <c r="G74" i="5" s="1"/>
  <c r="D74" i="5"/>
  <c r="W70" i="5"/>
  <c r="U70" i="5"/>
  <c r="Y70" i="5" s="1"/>
  <c r="F70" i="5"/>
  <c r="E70" i="5"/>
  <c r="X70" i="5" s="1"/>
  <c r="N69" i="5"/>
  <c r="N68" i="5"/>
  <c r="W67" i="5"/>
  <c r="Y67" i="5" s="1"/>
  <c r="U67" i="5"/>
  <c r="E67" i="5"/>
  <c r="X67" i="5" s="1"/>
  <c r="Y60" i="5"/>
  <c r="X60" i="5"/>
  <c r="W60" i="5"/>
  <c r="U60" i="5"/>
  <c r="F60" i="5"/>
  <c r="E60" i="5"/>
  <c r="N59" i="5"/>
  <c r="W58" i="5"/>
  <c r="Y58" i="5" s="1"/>
  <c r="U58" i="5"/>
  <c r="E58" i="5"/>
  <c r="N57" i="5"/>
  <c r="N56" i="5"/>
  <c r="N55" i="5"/>
  <c r="N54" i="5"/>
  <c r="N53" i="5"/>
  <c r="N52" i="5"/>
  <c r="W51" i="5"/>
  <c r="U51" i="5"/>
  <c r="E51" i="5"/>
  <c r="E48" i="5" s="1"/>
  <c r="Y49" i="5"/>
  <c r="X49" i="5"/>
  <c r="W49" i="5"/>
  <c r="U49" i="5"/>
  <c r="U48" i="5" s="1"/>
  <c r="F49" i="5"/>
  <c r="E49" i="5"/>
  <c r="K48" i="5"/>
  <c r="F28" i="9" s="1"/>
  <c r="J48" i="5"/>
  <c r="F17" i="9" s="1"/>
  <c r="I48" i="5"/>
  <c r="H48" i="5"/>
  <c r="F8" i="9" s="1"/>
  <c r="D48" i="5"/>
  <c r="N47" i="5"/>
  <c r="N46" i="5"/>
  <c r="W45" i="5"/>
  <c r="U45" i="5"/>
  <c r="Y45" i="5" s="1"/>
  <c r="G45" i="5"/>
  <c r="F45" i="5"/>
  <c r="E45" i="5"/>
  <c r="X45" i="5" s="1"/>
  <c r="F43" i="5"/>
  <c r="E43" i="5"/>
  <c r="W40" i="5"/>
  <c r="X40" i="5" s="1"/>
  <c r="U40" i="5"/>
  <c r="Y40" i="5" s="1"/>
  <c r="F40" i="5"/>
  <c r="E40" i="5"/>
  <c r="W39" i="5"/>
  <c r="X39" i="5" s="1"/>
  <c r="K39" i="5"/>
  <c r="J39" i="5"/>
  <c r="F16" i="9" s="1"/>
  <c r="I39" i="5"/>
  <c r="H39" i="5"/>
  <c r="F39" i="5"/>
  <c r="G39" i="5" s="1"/>
  <c r="E39" i="5"/>
  <c r="D39" i="5"/>
  <c r="U38" i="5"/>
  <c r="U37" i="5"/>
  <c r="U36" i="5"/>
  <c r="U35" i="5" s="1"/>
  <c r="Y35" i="5" s="1"/>
  <c r="W35" i="5"/>
  <c r="E35" i="5"/>
  <c r="X35" i="5" s="1"/>
  <c r="W29" i="5"/>
  <c r="E29" i="5"/>
  <c r="X29" i="5" s="1"/>
  <c r="W27" i="5"/>
  <c r="E27" i="5"/>
  <c r="U24" i="5"/>
  <c r="N24" i="5" s="1"/>
  <c r="U23" i="5"/>
  <c r="U22" i="5" s="1"/>
  <c r="U21" i="5"/>
  <c r="N21" i="5"/>
  <c r="U20" i="5"/>
  <c r="N20" i="5"/>
  <c r="U19" i="5"/>
  <c r="N19" i="5"/>
  <c r="U18" i="5"/>
  <c r="N18" i="5" s="1"/>
  <c r="W16" i="5"/>
  <c r="E16" i="5"/>
  <c r="F16" i="5" s="1"/>
  <c r="G16" i="5" s="1"/>
  <c r="U15" i="5"/>
  <c r="W14" i="5"/>
  <c r="E14" i="5"/>
  <c r="X14" i="5" s="1"/>
  <c r="U12" i="5"/>
  <c r="N12" i="5" s="1"/>
  <c r="U11" i="5"/>
  <c r="N11" i="5" s="1"/>
  <c r="U10" i="5"/>
  <c r="N10" i="5"/>
  <c r="E9" i="5"/>
  <c r="F9" i="5" s="1"/>
  <c r="G9" i="5" s="1"/>
  <c r="K8" i="5"/>
  <c r="F27" i="9" s="1"/>
  <c r="J8" i="5"/>
  <c r="F15" i="9" s="1"/>
  <c r="I8" i="5"/>
  <c r="F24" i="9" s="1"/>
  <c r="F23" i="9" s="1"/>
  <c r="H8" i="5"/>
  <c r="F7" i="9" s="1"/>
  <c r="D8" i="5"/>
  <c r="D7" i="5"/>
  <c r="E4" i="5"/>
  <c r="D4" i="5"/>
  <c r="G37" i="4"/>
  <c r="F37" i="4"/>
  <c r="G36" i="4"/>
  <c r="F36" i="4"/>
  <c r="F35" i="4"/>
  <c r="G35" i="4" s="1"/>
  <c r="E34" i="4"/>
  <c r="D34" i="4"/>
  <c r="D33" i="4" s="1"/>
  <c r="F33" i="4" s="1"/>
  <c r="G33" i="4" s="1"/>
  <c r="E33" i="4"/>
  <c r="G32" i="4"/>
  <c r="F32" i="4"/>
  <c r="F31" i="4"/>
  <c r="F30" i="4"/>
  <c r="G30" i="4" s="1"/>
  <c r="E29" i="4"/>
  <c r="E28" i="4" s="1"/>
  <c r="F28" i="4" s="1"/>
  <c r="G28" i="4" s="1"/>
  <c r="D29" i="4"/>
  <c r="D28" i="4"/>
  <c r="F27" i="4"/>
  <c r="G26" i="4"/>
  <c r="E26" i="4"/>
  <c r="F26" i="4" s="1"/>
  <c r="G25" i="4"/>
  <c r="F24" i="4"/>
  <c r="F23" i="4"/>
  <c r="F22" i="4"/>
  <c r="E22" i="4"/>
  <c r="G21" i="4"/>
  <c r="E21" i="4"/>
  <c r="D27" i="9" s="1"/>
  <c r="D26" i="9" s="1"/>
  <c r="F20" i="4"/>
  <c r="F19" i="4"/>
  <c r="G18" i="4"/>
  <c r="F18" i="4"/>
  <c r="E17" i="4"/>
  <c r="E16" i="4" s="1"/>
  <c r="D17" i="4"/>
  <c r="D16" i="4"/>
  <c r="E14" i="4"/>
  <c r="F14" i="4" s="1"/>
  <c r="E11" i="4"/>
  <c r="E10" i="4" s="1"/>
  <c r="F10" i="4" s="1"/>
  <c r="F9" i="4"/>
  <c r="G9" i="4" s="1"/>
  <c r="E8" i="4"/>
  <c r="F8" i="4" s="1"/>
  <c r="G8" i="4" s="1"/>
  <c r="D8" i="4"/>
  <c r="D7" i="4" s="1"/>
  <c r="E4" i="4"/>
  <c r="D4" i="4"/>
  <c r="M55" i="3"/>
  <c r="N55" i="3" s="1"/>
  <c r="L55" i="3"/>
  <c r="M55" i="10" s="1"/>
  <c r="N55" i="10" s="1"/>
  <c r="O55" i="10" s="1"/>
  <c r="K55" i="3"/>
  <c r="L55" i="10" s="1"/>
  <c r="L54" i="3"/>
  <c r="M54" i="10" s="1"/>
  <c r="K54" i="3"/>
  <c r="L54" i="10" s="1"/>
  <c r="L53" i="10" s="1"/>
  <c r="L52" i="10" s="1"/>
  <c r="L53" i="3"/>
  <c r="L51" i="3"/>
  <c r="M51" i="10" s="1"/>
  <c r="K51" i="3"/>
  <c r="L51" i="10" s="1"/>
  <c r="L50" i="10" s="1"/>
  <c r="L49" i="10" s="1"/>
  <c r="K48" i="3"/>
  <c r="L48" i="10" s="1"/>
  <c r="K47" i="3"/>
  <c r="L47" i="10" s="1"/>
  <c r="K46" i="3"/>
  <c r="L46" i="10" s="1"/>
  <c r="L45" i="3"/>
  <c r="M45" i="10" s="1"/>
  <c r="K45" i="3"/>
  <c r="L45" i="10" s="1"/>
  <c r="M44" i="3"/>
  <c r="N44" i="3" s="1"/>
  <c r="L44" i="3"/>
  <c r="M44" i="10" s="1"/>
  <c r="K44" i="3"/>
  <c r="L44" i="10" s="1"/>
  <c r="M43" i="3"/>
  <c r="L43" i="3"/>
  <c r="M43" i="10" s="1"/>
  <c r="N43" i="10" s="1"/>
  <c r="K43" i="3"/>
  <c r="L43" i="10" s="1"/>
  <c r="L42" i="3"/>
  <c r="M42" i="10" s="1"/>
  <c r="N42" i="10" s="1"/>
  <c r="K42" i="3"/>
  <c r="L42" i="10" s="1"/>
  <c r="L41" i="3"/>
  <c r="M41" i="10" s="1"/>
  <c r="K41" i="3"/>
  <c r="L41" i="10" s="1"/>
  <c r="L40" i="3"/>
  <c r="M40" i="10" s="1"/>
  <c r="K40" i="3"/>
  <c r="L40" i="10" s="1"/>
  <c r="L39" i="3"/>
  <c r="M39" i="10" s="1"/>
  <c r="K39" i="3"/>
  <c r="L39" i="10" s="1"/>
  <c r="F38" i="3"/>
  <c r="G38" i="3" s="1"/>
  <c r="E38" i="3"/>
  <c r="E38" i="10" s="1"/>
  <c r="D38" i="3"/>
  <c r="D38" i="10" s="1"/>
  <c r="L37" i="3"/>
  <c r="M37" i="10" s="1"/>
  <c r="K37" i="3"/>
  <c r="L37" i="10" s="1"/>
  <c r="E37" i="3"/>
  <c r="E37" i="10" s="1"/>
  <c r="D37" i="3"/>
  <c r="D37" i="10" s="1"/>
  <c r="K36" i="3"/>
  <c r="L36" i="10" s="1"/>
  <c r="E36" i="3"/>
  <c r="E36" i="10" s="1"/>
  <c r="D36" i="3"/>
  <c r="D36" i="10" s="1"/>
  <c r="D35" i="10" s="1"/>
  <c r="D34" i="10" s="1"/>
  <c r="M35" i="3"/>
  <c r="L35" i="3"/>
  <c r="K35" i="3"/>
  <c r="L35" i="10" s="1"/>
  <c r="N35" i="10" s="1"/>
  <c r="E35" i="3"/>
  <c r="E34" i="3" s="1"/>
  <c r="M34" i="3"/>
  <c r="N34" i="3" s="1"/>
  <c r="L34" i="3"/>
  <c r="M34" i="10" s="1"/>
  <c r="N34" i="10" s="1"/>
  <c r="O34" i="10" s="1"/>
  <c r="K34" i="3"/>
  <c r="L34" i="10" s="1"/>
  <c r="K33" i="3"/>
  <c r="L33" i="10" s="1"/>
  <c r="F33" i="3"/>
  <c r="G33" i="3" s="1"/>
  <c r="E33" i="3"/>
  <c r="E33" i="10" s="1"/>
  <c r="F33" i="10" s="1"/>
  <c r="G33" i="10" s="1"/>
  <c r="D33" i="3"/>
  <c r="D33" i="10" s="1"/>
  <c r="E32" i="3"/>
  <c r="E32" i="10" s="1"/>
  <c r="D32" i="3"/>
  <c r="D32" i="10" s="1"/>
  <c r="F31" i="3"/>
  <c r="G31" i="3" s="1"/>
  <c r="E31" i="3"/>
  <c r="E31" i="10" s="1"/>
  <c r="D31" i="3"/>
  <c r="D31" i="10" s="1"/>
  <c r="L30" i="3"/>
  <c r="M30" i="10" s="1"/>
  <c r="K30" i="3"/>
  <c r="L30" i="10" s="1"/>
  <c r="E30" i="3"/>
  <c r="L29" i="3"/>
  <c r="M29" i="10" s="1"/>
  <c r="N29" i="10" s="1"/>
  <c r="K29" i="3"/>
  <c r="L29" i="10" s="1"/>
  <c r="M28" i="3"/>
  <c r="L28" i="3"/>
  <c r="M28" i="10" s="1"/>
  <c r="K28" i="3"/>
  <c r="L28" i="10" s="1"/>
  <c r="F28" i="3"/>
  <c r="E28" i="3"/>
  <c r="E28" i="10" s="1"/>
  <c r="D28" i="3"/>
  <c r="D28" i="10" s="1"/>
  <c r="D27" i="10" s="1"/>
  <c r="D26" i="10" s="1"/>
  <c r="G27" i="3"/>
  <c r="E27" i="3"/>
  <c r="E26" i="3" s="1"/>
  <c r="G26" i="3"/>
  <c r="L25" i="3"/>
  <c r="M25" i="10" s="1"/>
  <c r="K25" i="3"/>
  <c r="L25" i="10" s="1"/>
  <c r="E25" i="3"/>
  <c r="E25" i="10" s="1"/>
  <c r="D25" i="3"/>
  <c r="D25" i="10" s="1"/>
  <c r="L24" i="3"/>
  <c r="M24" i="10" s="1"/>
  <c r="N24" i="10" s="1"/>
  <c r="O24" i="10" s="1"/>
  <c r="K24" i="3"/>
  <c r="L24" i="10" s="1"/>
  <c r="E24" i="3"/>
  <c r="E24" i="10" s="1"/>
  <c r="D24" i="3"/>
  <c r="D24" i="10" s="1"/>
  <c r="L23" i="3"/>
  <c r="M23" i="10" s="1"/>
  <c r="N23" i="10" s="1"/>
  <c r="K23" i="3"/>
  <c r="L23" i="10" s="1"/>
  <c r="E23" i="3"/>
  <c r="M22" i="3"/>
  <c r="N22" i="3" s="1"/>
  <c r="L22" i="3"/>
  <c r="M22" i="10" s="1"/>
  <c r="N22" i="10" s="1"/>
  <c r="O22" i="10" s="1"/>
  <c r="K22" i="3"/>
  <c r="L22" i="10" s="1"/>
  <c r="G22" i="3"/>
  <c r="E22" i="3"/>
  <c r="L21" i="3"/>
  <c r="M21" i="10" s="1"/>
  <c r="N21" i="10" s="1"/>
  <c r="O21" i="10" s="1"/>
  <c r="K21" i="3"/>
  <c r="L21" i="10" s="1"/>
  <c r="E21" i="3"/>
  <c r="E21" i="10" s="1"/>
  <c r="F21" i="10" s="1"/>
  <c r="D21" i="3"/>
  <c r="D21" i="10" s="1"/>
  <c r="L20" i="3"/>
  <c r="M20" i="10" s="1"/>
  <c r="K20" i="3"/>
  <c r="L20" i="10" s="1"/>
  <c r="E20" i="3"/>
  <c r="E20" i="10" s="1"/>
  <c r="F20" i="10" s="1"/>
  <c r="D20" i="3"/>
  <c r="D20" i="10" s="1"/>
  <c r="G19" i="3"/>
  <c r="F19" i="3"/>
  <c r="E19" i="3"/>
  <c r="E19" i="10" s="1"/>
  <c r="D19" i="3"/>
  <c r="D19" i="10" s="1"/>
  <c r="L18" i="3"/>
  <c r="M18" i="10" s="1"/>
  <c r="N18" i="10" s="1"/>
  <c r="K18" i="3"/>
  <c r="L18" i="10" s="1"/>
  <c r="M17" i="3"/>
  <c r="L17" i="3"/>
  <c r="M17" i="10" s="1"/>
  <c r="K17" i="3"/>
  <c r="L17" i="10" s="1"/>
  <c r="L16" i="10" s="1"/>
  <c r="K16" i="3"/>
  <c r="E16" i="3"/>
  <c r="E16" i="10" s="1"/>
  <c r="D16" i="3"/>
  <c r="D16" i="10" s="1"/>
  <c r="D15" i="10" s="1"/>
  <c r="D14" i="10" s="1"/>
  <c r="L15" i="3"/>
  <c r="M15" i="10" s="1"/>
  <c r="K15" i="3"/>
  <c r="L15" i="10" s="1"/>
  <c r="E15" i="3"/>
  <c r="E14" i="3" s="1"/>
  <c r="D15" i="3"/>
  <c r="D14" i="3" s="1"/>
  <c r="K14" i="3"/>
  <c r="L14" i="10" s="1"/>
  <c r="L13" i="3"/>
  <c r="M13" i="10" s="1"/>
  <c r="K13" i="3"/>
  <c r="L13" i="10" s="1"/>
  <c r="E13" i="3"/>
  <c r="E13" i="10" s="1"/>
  <c r="E12" i="10" s="1"/>
  <c r="E11" i="10" s="1"/>
  <c r="D13" i="3"/>
  <c r="D13" i="10" s="1"/>
  <c r="D12" i="10" s="1"/>
  <c r="D11" i="10" s="1"/>
  <c r="K12" i="3"/>
  <c r="L12" i="10" s="1"/>
  <c r="K11" i="3"/>
  <c r="L11" i="10" s="1"/>
  <c r="K10" i="3"/>
  <c r="L10" i="10" s="1"/>
  <c r="L9" i="10" s="1"/>
  <c r="E10" i="3"/>
  <c r="E10" i="10" s="1"/>
  <c r="D10" i="3"/>
  <c r="D10" i="10" s="1"/>
  <c r="D9" i="10" s="1"/>
  <c r="D8" i="10" s="1"/>
  <c r="D9" i="3"/>
  <c r="D8" i="3" s="1"/>
  <c r="L5" i="3"/>
  <c r="K5" i="3"/>
  <c r="I11" i="2"/>
  <c r="V41" i="11" l="1"/>
  <c r="I7" i="5"/>
  <c r="I6" i="5" s="1"/>
  <c r="K7" i="5"/>
  <c r="F150" i="5"/>
  <c r="G150" i="5" s="1"/>
  <c r="E149" i="5"/>
  <c r="E148" i="5" s="1"/>
  <c r="F148" i="5" s="1"/>
  <c r="G148" i="5" s="1"/>
  <c r="L33" i="3"/>
  <c r="M33" i="10" s="1"/>
  <c r="Y95" i="5"/>
  <c r="F95" i="5"/>
  <c r="G95" i="5" s="1"/>
  <c r="Y110" i="5"/>
  <c r="L14" i="3"/>
  <c r="M14" i="10" s="1"/>
  <c r="N14" i="10" s="1"/>
  <c r="O14" i="10" s="1"/>
  <c r="P11" i="11"/>
  <c r="L11" i="11"/>
  <c r="K9" i="6"/>
  <c r="U9" i="5"/>
  <c r="F52" i="6"/>
  <c r="G52" i="6" s="1"/>
  <c r="G53" i="6"/>
  <c r="F40" i="6"/>
  <c r="Q40" i="6"/>
  <c r="G67" i="7"/>
  <c r="H67" i="7" s="1"/>
  <c r="Q52" i="7"/>
  <c r="Q51" i="7" s="1"/>
  <c r="Q58" i="7"/>
  <c r="F39" i="7"/>
  <c r="G39" i="7" s="1"/>
  <c r="H39" i="7" s="1"/>
  <c r="G54" i="6"/>
  <c r="U31" i="6"/>
  <c r="H33" i="7"/>
  <c r="H22" i="8"/>
  <c r="F47" i="7"/>
  <c r="F39" i="8"/>
  <c r="G39" i="8" s="1"/>
  <c r="H39" i="8" s="1"/>
  <c r="Q75" i="8"/>
  <c r="F75" i="8" s="1"/>
  <c r="G75" i="8" s="1"/>
  <c r="H75" i="8" s="1"/>
  <c r="H16" i="8"/>
  <c r="T28" i="7"/>
  <c r="U28" i="7" s="1"/>
  <c r="V28" i="7" s="1"/>
  <c r="F66" i="7"/>
  <c r="G66" i="7" s="1"/>
  <c r="H66" i="7" s="1"/>
  <c r="Q47" i="8"/>
  <c r="L10" i="3"/>
  <c r="M10" i="10" s="1"/>
  <c r="N10" i="10" s="1"/>
  <c r="O10" i="10" s="1"/>
  <c r="F29" i="5"/>
  <c r="G29" i="5" s="1"/>
  <c r="X27" i="5"/>
  <c r="L12" i="3"/>
  <c r="M12" i="10" s="1"/>
  <c r="N12" i="10" s="1"/>
  <c r="O12" i="10" s="1"/>
  <c r="X16" i="5"/>
  <c r="H7" i="5"/>
  <c r="D7" i="9"/>
  <c r="D6" i="9" s="1"/>
  <c r="F16" i="4"/>
  <c r="G16" i="4" s="1"/>
  <c r="H113" i="5"/>
  <c r="E138" i="5"/>
  <c r="Y77" i="5"/>
  <c r="U75" i="5"/>
  <c r="F46" i="6"/>
  <c r="G46" i="6" s="1"/>
  <c r="G47" i="6"/>
  <c r="T36" i="7"/>
  <c r="W36" i="7" s="1"/>
  <c r="G36" i="7"/>
  <c r="H36" i="7" s="1"/>
  <c r="F144" i="5"/>
  <c r="L47" i="3"/>
  <c r="G40" i="6"/>
  <c r="D6" i="4"/>
  <c r="F23" i="3"/>
  <c r="D12" i="2"/>
  <c r="G9" i="6"/>
  <c r="F48" i="5"/>
  <c r="G48" i="5" s="1"/>
  <c r="F46" i="7"/>
  <c r="G46" i="7" s="1"/>
  <c r="H46" i="7" s="1"/>
  <c r="G47" i="7"/>
  <c r="H47" i="7" s="1"/>
  <c r="F30" i="3"/>
  <c r="G30" i="3" s="1"/>
  <c r="D13" i="2"/>
  <c r="M36" i="10"/>
  <c r="N36" i="10" s="1"/>
  <c r="O36" i="10" s="1"/>
  <c r="M36" i="3"/>
  <c r="N36" i="3" s="1"/>
  <c r="G11" i="6"/>
  <c r="P29" i="11"/>
  <c r="O29" i="11"/>
  <c r="N29" i="11"/>
  <c r="L29" i="11"/>
  <c r="K29" i="11"/>
  <c r="M18" i="3"/>
  <c r="N18" i="3" s="1"/>
  <c r="F20" i="3"/>
  <c r="M23" i="3"/>
  <c r="N25" i="10"/>
  <c r="N30" i="10"/>
  <c r="O30" i="10" s="1"/>
  <c r="F32" i="10"/>
  <c r="M33" i="3"/>
  <c r="N33" i="3" s="1"/>
  <c r="N41" i="10"/>
  <c r="O41" i="10" s="1"/>
  <c r="M50" i="10"/>
  <c r="N51" i="10"/>
  <c r="O51" i="10" s="1"/>
  <c r="M53" i="10"/>
  <c r="M52" i="10" s="1"/>
  <c r="N52" i="10" s="1"/>
  <c r="O52" i="10" s="1"/>
  <c r="N54" i="10"/>
  <c r="N53" i="10" s="1"/>
  <c r="O53" i="10" s="1"/>
  <c r="F17" i="4"/>
  <c r="G17" i="4" s="1"/>
  <c r="F14" i="5"/>
  <c r="X58" i="5"/>
  <c r="E94" i="5"/>
  <c r="F107" i="5"/>
  <c r="G107" i="5" s="1"/>
  <c r="X116" i="5"/>
  <c r="X134" i="5"/>
  <c r="G36" i="6"/>
  <c r="T44" i="6"/>
  <c r="G41" i="7"/>
  <c r="H41" i="7" s="1"/>
  <c r="G59" i="7"/>
  <c r="H59" i="7" s="1"/>
  <c r="F58" i="7"/>
  <c r="G58" i="7" s="1"/>
  <c r="H58" i="7" s="1"/>
  <c r="G63" i="7"/>
  <c r="H63" i="7" s="1"/>
  <c r="Q27" i="8"/>
  <c r="Q8" i="8" s="1"/>
  <c r="Q7" i="8" s="1"/>
  <c r="P15" i="11"/>
  <c r="O15" i="11"/>
  <c r="N15" i="11"/>
  <c r="L15" i="11"/>
  <c r="K15" i="11"/>
  <c r="L19" i="10"/>
  <c r="D23" i="10"/>
  <c r="D22" i="10" s="1"/>
  <c r="M25" i="3"/>
  <c r="E29" i="3"/>
  <c r="M30" i="3"/>
  <c r="N30" i="3" s="1"/>
  <c r="F32" i="3"/>
  <c r="K38" i="3"/>
  <c r="M41" i="3"/>
  <c r="N41" i="3" s="1"/>
  <c r="M51" i="3"/>
  <c r="N51" i="3" s="1"/>
  <c r="M54" i="3"/>
  <c r="E7" i="4"/>
  <c r="F11" i="4"/>
  <c r="E25" i="4"/>
  <c r="U14" i="5"/>
  <c r="Y14" i="5" s="1"/>
  <c r="U17" i="5"/>
  <c r="F51" i="5"/>
  <c r="G51" i="5" s="1"/>
  <c r="F58" i="5"/>
  <c r="G58" i="5" s="1"/>
  <c r="W74" i="5"/>
  <c r="X74" i="5" s="1"/>
  <c r="F27" i="6"/>
  <c r="G27" i="6" s="1"/>
  <c r="F37" i="6"/>
  <c r="G37" i="6" s="1"/>
  <c r="G41" i="6"/>
  <c r="G9" i="7"/>
  <c r="H9" i="7" s="1"/>
  <c r="G49" i="7"/>
  <c r="H49" i="7" s="1"/>
  <c r="M32" i="10"/>
  <c r="N33" i="10"/>
  <c r="O33" i="10" s="1"/>
  <c r="K9" i="3"/>
  <c r="N13" i="10"/>
  <c r="O13" i="10" s="1"/>
  <c r="N15" i="10"/>
  <c r="D18" i="10"/>
  <c r="D17" i="10" s="1"/>
  <c r="D7" i="10" s="1"/>
  <c r="N20" i="10"/>
  <c r="M19" i="10"/>
  <c r="N19" i="10" s="1"/>
  <c r="O19" i="10" s="1"/>
  <c r="F24" i="10"/>
  <c r="E23" i="10"/>
  <c r="K27" i="3"/>
  <c r="K26" i="3" s="1"/>
  <c r="K32" i="3"/>
  <c r="F37" i="10"/>
  <c r="G37" i="10" s="1"/>
  <c r="N45" i="10"/>
  <c r="E13" i="4"/>
  <c r="F13" i="4" s="1"/>
  <c r="F29" i="4"/>
  <c r="G29" i="4" s="1"/>
  <c r="E8" i="5"/>
  <c r="F67" i="5"/>
  <c r="G67" i="5" s="1"/>
  <c r="X75" i="5"/>
  <c r="E146" i="5"/>
  <c r="F23" i="6"/>
  <c r="G23" i="6" s="1"/>
  <c r="F34" i="7"/>
  <c r="G34" i="7" s="1"/>
  <c r="H34" i="7" s="1"/>
  <c r="Y36" i="13"/>
  <c r="Z36" i="13" s="1"/>
  <c r="W36" i="13"/>
  <c r="AB36" i="13"/>
  <c r="AA36" i="13"/>
  <c r="X36" i="13"/>
  <c r="L11" i="3"/>
  <c r="M13" i="3"/>
  <c r="N13" i="3" s="1"/>
  <c r="M15" i="3"/>
  <c r="N15" i="3" s="1"/>
  <c r="F19" i="10"/>
  <c r="G19" i="10" s="1"/>
  <c r="E18" i="10"/>
  <c r="M20" i="3"/>
  <c r="F24" i="3"/>
  <c r="L27" i="3"/>
  <c r="D30" i="10"/>
  <c r="D29" i="10" s="1"/>
  <c r="L32" i="3"/>
  <c r="F37" i="3"/>
  <c r="G37" i="3" s="1"/>
  <c r="M45" i="3"/>
  <c r="N45" i="3" s="1"/>
  <c r="F34" i="4"/>
  <c r="G34" i="4" s="1"/>
  <c r="M26" i="5"/>
  <c r="W48" i="5"/>
  <c r="X48" i="5" s="1"/>
  <c r="Y51" i="5"/>
  <c r="X107" i="5"/>
  <c r="Q8" i="7"/>
  <c r="Q7" i="7" s="1"/>
  <c r="Q6" i="7" s="1"/>
  <c r="T45" i="6"/>
  <c r="F52" i="7"/>
  <c r="K32" i="8"/>
  <c r="Q32" i="8" s="1"/>
  <c r="Q31" i="8"/>
  <c r="M16" i="10"/>
  <c r="N16" i="10" s="1"/>
  <c r="O16" i="10" s="1"/>
  <c r="N17" i="10"/>
  <c r="E30" i="10"/>
  <c r="F31" i="10"/>
  <c r="G31" i="10" s="1"/>
  <c r="L52" i="3"/>
  <c r="U113" i="5"/>
  <c r="G53" i="7"/>
  <c r="H53" i="7" s="1"/>
  <c r="T60" i="7"/>
  <c r="W60" i="7" s="1"/>
  <c r="E9" i="10"/>
  <c r="F10" i="10"/>
  <c r="G10" i="10" s="1"/>
  <c r="L38" i="10"/>
  <c r="M42" i="3"/>
  <c r="X51" i="5"/>
  <c r="J93" i="5"/>
  <c r="Q46" i="6"/>
  <c r="Q39" i="6" s="1"/>
  <c r="W7" i="7"/>
  <c r="T61" i="7"/>
  <c r="W61" i="7" s="1"/>
  <c r="G61" i="7"/>
  <c r="H61" i="7" s="1"/>
  <c r="D12" i="3"/>
  <c r="D11" i="3" s="1"/>
  <c r="F10" i="3"/>
  <c r="G10" i="3" s="1"/>
  <c r="E12" i="3"/>
  <c r="E11" i="3" s="1"/>
  <c r="I10" i="2" s="1"/>
  <c r="D18" i="3"/>
  <c r="D17" i="3" s="1"/>
  <c r="D7" i="3" s="1"/>
  <c r="K19" i="3"/>
  <c r="F21" i="3"/>
  <c r="M24" i="3"/>
  <c r="N24" i="3" s="1"/>
  <c r="M29" i="3"/>
  <c r="F36" i="10"/>
  <c r="G36" i="10" s="1"/>
  <c r="E35" i="10"/>
  <c r="N37" i="10"/>
  <c r="O37" i="10" s="1"/>
  <c r="N39" i="10"/>
  <c r="F27" i="5"/>
  <c r="G27" i="5" s="1"/>
  <c r="K93" i="5"/>
  <c r="K6" i="5" s="1"/>
  <c r="E152" i="5"/>
  <c r="E151" i="5" s="1"/>
  <c r="F151" i="5" s="1"/>
  <c r="G151" i="5" s="1"/>
  <c r="F154" i="5"/>
  <c r="G154" i="5" s="1"/>
  <c r="E7" i="7"/>
  <c r="E6" i="7" s="1"/>
  <c r="Q34" i="7"/>
  <c r="G50" i="7"/>
  <c r="H50" i="7" s="1"/>
  <c r="E18" i="3"/>
  <c r="L19" i="3"/>
  <c r="M19" i="3" s="1"/>
  <c r="N19" i="3" s="1"/>
  <c r="D23" i="3"/>
  <c r="D22" i="3" s="1"/>
  <c r="F22" i="3" s="1"/>
  <c r="F28" i="10"/>
  <c r="E27" i="10"/>
  <c r="D30" i="3"/>
  <c r="D29" i="3" s="1"/>
  <c r="F36" i="3"/>
  <c r="G36" i="3" s="1"/>
  <c r="M37" i="3"/>
  <c r="N37" i="3" s="1"/>
  <c r="M39" i="3"/>
  <c r="K50" i="3"/>
  <c r="K49" i="3" s="1"/>
  <c r="K53" i="3"/>
  <c r="K52" i="3" s="1"/>
  <c r="F21" i="4"/>
  <c r="J7" i="5"/>
  <c r="F14" i="9"/>
  <c r="F35" i="5"/>
  <c r="W94" i="5"/>
  <c r="Y94" i="5" s="1"/>
  <c r="X110" i="5"/>
  <c r="Y114" i="5"/>
  <c r="F149" i="5"/>
  <c r="G149" i="5" s="1"/>
  <c r="F8" i="7"/>
  <c r="L8" i="10"/>
  <c r="L16" i="3"/>
  <c r="M16" i="3" s="1"/>
  <c r="N16" i="3" s="1"/>
  <c r="L50" i="3"/>
  <c r="F26" i="9"/>
  <c r="T43" i="6"/>
  <c r="E9" i="3"/>
  <c r="M14" i="3"/>
  <c r="N14" i="3" s="1"/>
  <c r="M21" i="3"/>
  <c r="N21" i="3" s="1"/>
  <c r="F25" i="10"/>
  <c r="L27" i="10"/>
  <c r="L26" i="10" s="1"/>
  <c r="N40" i="10"/>
  <c r="H152" i="5"/>
  <c r="H151" i="5" s="1"/>
  <c r="W154" i="5"/>
  <c r="Y154" i="5" s="1"/>
  <c r="T62" i="7"/>
  <c r="W62" i="7" s="1"/>
  <c r="F25" i="3"/>
  <c r="D27" i="3"/>
  <c r="D26" i="3" s="1"/>
  <c r="F26" i="3" s="1"/>
  <c r="M27" i="10"/>
  <c r="N28" i="10"/>
  <c r="L32" i="10"/>
  <c r="L31" i="10" s="1"/>
  <c r="D35" i="3"/>
  <c r="D34" i="3" s="1"/>
  <c r="F34" i="3" s="1"/>
  <c r="G34" i="3" s="1"/>
  <c r="F38" i="10"/>
  <c r="G38" i="10" s="1"/>
  <c r="M40" i="3"/>
  <c r="N44" i="10"/>
  <c r="W8" i="5"/>
  <c r="N23" i="5"/>
  <c r="U39" i="5"/>
  <c r="Y39" i="5" s="1"/>
  <c r="X129" i="5"/>
  <c r="F47" i="8"/>
  <c r="G47" i="8" s="1"/>
  <c r="Q46" i="8"/>
  <c r="F46" i="8" s="1"/>
  <c r="G46" i="8" s="1"/>
  <c r="S11" i="13"/>
  <c r="R11" i="13"/>
  <c r="R24" i="14"/>
  <c r="S23" i="14"/>
  <c r="P27" i="11"/>
  <c r="O27" i="11"/>
  <c r="N27" i="11"/>
  <c r="L37" i="11"/>
  <c r="K37" i="11"/>
  <c r="AB48" i="13"/>
  <c r="AA48" i="13"/>
  <c r="G64" i="7"/>
  <c r="H64" i="7" s="1"/>
  <c r="Q30" i="8"/>
  <c r="G41" i="8"/>
  <c r="H41" i="8" s="1"/>
  <c r="K23" i="11"/>
  <c r="K27" i="11"/>
  <c r="K39" i="11"/>
  <c r="P39" i="11"/>
  <c r="Q14" i="13"/>
  <c r="F15" i="13"/>
  <c r="F16" i="13"/>
  <c r="F17" i="13"/>
  <c r="AB86" i="13"/>
  <c r="AA86" i="13"/>
  <c r="X86" i="13"/>
  <c r="W86" i="13"/>
  <c r="Y86" i="13"/>
  <c r="Z86" i="13" s="1"/>
  <c r="K29" i="7"/>
  <c r="J13" i="11"/>
  <c r="L27" i="11"/>
  <c r="P31" i="11"/>
  <c r="O31" i="11"/>
  <c r="N31" i="11"/>
  <c r="L31" i="11"/>
  <c r="K31" i="11"/>
  <c r="N37" i="11"/>
  <c r="U8" i="13"/>
  <c r="S13" i="13"/>
  <c r="R13" i="13"/>
  <c r="U13" i="13" s="1"/>
  <c r="F40" i="13"/>
  <c r="F41" i="13"/>
  <c r="U39" i="13"/>
  <c r="G28" i="8"/>
  <c r="H28" i="8" s="1"/>
  <c r="M7" i="11"/>
  <c r="Q7" i="11" s="1"/>
  <c r="M11" i="11"/>
  <c r="O37" i="11"/>
  <c r="F14" i="13"/>
  <c r="W48" i="13"/>
  <c r="N11" i="11"/>
  <c r="P25" i="11"/>
  <c r="O25" i="11"/>
  <c r="P37" i="11"/>
  <c r="R8" i="13"/>
  <c r="F18" i="13"/>
  <c r="AC20" i="13"/>
  <c r="Q24" i="13"/>
  <c r="R24" i="13" s="1"/>
  <c r="X48" i="13"/>
  <c r="Q76" i="13"/>
  <c r="R76" i="13" s="1"/>
  <c r="F76" i="13"/>
  <c r="F12" i="8"/>
  <c r="G12" i="8" s="1"/>
  <c r="H12" i="8" s="1"/>
  <c r="Q58" i="8"/>
  <c r="F58" i="8" s="1"/>
  <c r="G58" i="8" s="1"/>
  <c r="H58" i="8" s="1"/>
  <c r="O11" i="11"/>
  <c r="K25" i="11"/>
  <c r="U11" i="13"/>
  <c r="U34" i="13"/>
  <c r="U37" i="13"/>
  <c r="Y48" i="13"/>
  <c r="Z48" i="13" s="1"/>
  <c r="O84" i="13"/>
  <c r="L25" i="11"/>
  <c r="Q40" i="13"/>
  <c r="R40" i="13" s="1"/>
  <c r="Q51" i="13"/>
  <c r="R51" i="13" s="1"/>
  <c r="F51" i="13"/>
  <c r="U50" i="13"/>
  <c r="L23" i="11"/>
  <c r="R9" i="13"/>
  <c r="U9" i="13" s="1"/>
  <c r="F24" i="13"/>
  <c r="U87" i="13"/>
  <c r="N25" i="11"/>
  <c r="L39" i="11"/>
  <c r="Z59" i="13"/>
  <c r="Q52" i="8"/>
  <c r="I10" i="11"/>
  <c r="N23" i="11"/>
  <c r="I5" i="13"/>
  <c r="U35" i="13"/>
  <c r="U47" i="13"/>
  <c r="Y98" i="13"/>
  <c r="AB98" i="13"/>
  <c r="AA98" i="13"/>
  <c r="X98" i="13"/>
  <c r="W98" i="13"/>
  <c r="L21" i="11"/>
  <c r="K21" i="11"/>
  <c r="O23" i="11"/>
  <c r="N35" i="11"/>
  <c r="L35" i="11"/>
  <c r="K35" i="11"/>
  <c r="N39" i="11"/>
  <c r="O43" i="13"/>
  <c r="Q102" i="13"/>
  <c r="R102" i="13" s="1"/>
  <c r="Q12" i="13"/>
  <c r="M21" i="13"/>
  <c r="O22" i="13"/>
  <c r="O23" i="13" s="1"/>
  <c r="O24" i="13" s="1"/>
  <c r="O25" i="13" s="1"/>
  <c r="O26" i="13" s="1"/>
  <c r="O27" i="13" s="1"/>
  <c r="O28" i="13" s="1"/>
  <c r="O29" i="13" s="1"/>
  <c r="O30" i="13" s="1"/>
  <c r="O31" i="13" s="1"/>
  <c r="Q23" i="13"/>
  <c r="R23" i="13" s="1"/>
  <c r="W33" i="13"/>
  <c r="W46" i="13"/>
  <c r="O55" i="13"/>
  <c r="Q61" i="13"/>
  <c r="R61" i="13" s="1"/>
  <c r="M60" i="13"/>
  <c r="M58" i="13" s="1"/>
  <c r="Y72" i="13"/>
  <c r="X72" i="13"/>
  <c r="W72" i="13"/>
  <c r="G5" i="12"/>
  <c r="G7" i="12" s="1"/>
  <c r="W7" i="13"/>
  <c r="Q22" i="13"/>
  <c r="R22" i="13" s="1"/>
  <c r="X33" i="13"/>
  <c r="X46" i="13"/>
  <c r="O62" i="13"/>
  <c r="AA72" i="13"/>
  <c r="Q75" i="13"/>
  <c r="R75" i="13" s="1"/>
  <c r="U75" i="13" s="1"/>
  <c r="O97" i="13"/>
  <c r="O100" i="13"/>
  <c r="O101" i="13" s="1"/>
  <c r="O102" i="13" s="1"/>
  <c r="O103" i="13" s="1"/>
  <c r="O104" i="13" s="1"/>
  <c r="O105" i="13" s="1"/>
  <c r="O106" i="13" s="1"/>
  <c r="O107" i="13" s="1"/>
  <c r="O108" i="13" s="1"/>
  <c r="O109" i="13" s="1"/>
  <c r="U101" i="13"/>
  <c r="K33" i="11"/>
  <c r="X7" i="13"/>
  <c r="Y33" i="13"/>
  <c r="Q38" i="13"/>
  <c r="R38" i="13" s="1"/>
  <c r="U38" i="13" s="1"/>
  <c r="O42" i="13"/>
  <c r="O32" i="13" s="1"/>
  <c r="Y46" i="13"/>
  <c r="U49" i="13"/>
  <c r="AB72" i="13"/>
  <c r="U88" i="13"/>
  <c r="F102" i="13"/>
  <c r="R11" i="14"/>
  <c r="R12" i="14" s="1"/>
  <c r="R13" i="14" s="1"/>
  <c r="R14" i="14" s="1"/>
  <c r="R15" i="14" s="1"/>
  <c r="R16" i="14" s="1"/>
  <c r="R17" i="14" s="1"/>
  <c r="R18" i="14" s="1"/>
  <c r="L17" i="11"/>
  <c r="K19" i="11"/>
  <c r="L33" i="11"/>
  <c r="K5" i="12"/>
  <c r="K7" i="12" s="1"/>
  <c r="Y7" i="13"/>
  <c r="U21" i="13"/>
  <c r="AA33" i="13"/>
  <c r="U60" i="13"/>
  <c r="L19" i="11"/>
  <c r="AB33" i="13"/>
  <c r="AA46" i="13"/>
  <c r="O54" i="13"/>
  <c r="O45" i="13" s="1"/>
  <c r="U73" i="13"/>
  <c r="Q74" i="13"/>
  <c r="R74" i="13" s="1"/>
  <c r="F89" i="13"/>
  <c r="U99" i="13"/>
  <c r="U112" i="13"/>
  <c r="K7" i="11"/>
  <c r="I9" i="11"/>
  <c r="I41" i="11" s="1"/>
  <c r="K11" i="11"/>
  <c r="N17" i="11"/>
  <c r="N33" i="11"/>
  <c r="R10" i="13"/>
  <c r="U10" i="13" s="1"/>
  <c r="M73" i="13"/>
  <c r="O110" i="13"/>
  <c r="O113" i="13"/>
  <c r="O114" i="13" s="1"/>
  <c r="O115" i="13" s="1"/>
  <c r="O116" i="13" s="1"/>
  <c r="O117" i="13" s="1"/>
  <c r="O118" i="13" s="1"/>
  <c r="O119" i="13" s="1"/>
  <c r="O120" i="13" s="1"/>
  <c r="O121" i="13" s="1"/>
  <c r="O122" i="13" s="1"/>
  <c r="O71" i="13"/>
  <c r="AB85" i="13"/>
  <c r="AA85" i="13"/>
  <c r="Y85" i="13"/>
  <c r="X85" i="13"/>
  <c r="AB110" i="14"/>
  <c r="AA50" i="14"/>
  <c r="Y9" i="14"/>
  <c r="W9" i="14"/>
  <c r="X9" i="14" s="1"/>
  <c r="U9" i="14"/>
  <c r="V21" i="14"/>
  <c r="Z21" i="14"/>
  <c r="W21" i="14"/>
  <c r="X21" i="14" s="1"/>
  <c r="AB52" i="14"/>
  <c r="AB50" i="14" s="1"/>
  <c r="V50" i="14"/>
  <c r="AB95" i="14"/>
  <c r="AB113" i="14"/>
  <c r="S34" i="14"/>
  <c r="R35" i="14"/>
  <c r="Y21" i="14"/>
  <c r="AB98" i="14"/>
  <c r="AA7" i="14"/>
  <c r="Z9" i="14"/>
  <c r="Z50" i="14"/>
  <c r="AB57" i="14"/>
  <c r="AB111" i="14"/>
  <c r="F10" i="14"/>
  <c r="S22" i="14"/>
  <c r="AB53" i="14"/>
  <c r="AA102" i="14"/>
  <c r="AB114" i="14"/>
  <c r="M67" i="13"/>
  <c r="F69" i="13"/>
  <c r="I5" i="14"/>
  <c r="Y8" i="14"/>
  <c r="W8" i="14"/>
  <c r="X8" i="14" s="1"/>
  <c r="U8" i="14"/>
  <c r="AA8" i="14" s="1"/>
  <c r="AB62" i="14"/>
  <c r="U100" i="13"/>
  <c r="F115" i="13"/>
  <c r="V8" i="14"/>
  <c r="AB60" i="14"/>
  <c r="AA89" i="14"/>
  <c r="U20" i="14"/>
  <c r="Y33" i="14"/>
  <c r="AA33" i="14" s="1"/>
  <c r="W50" i="14"/>
  <c r="X50" i="14" s="1"/>
  <c r="V94" i="14"/>
  <c r="V97" i="14"/>
  <c r="V100" i="14"/>
  <c r="V109" i="14"/>
  <c r="V112" i="14"/>
  <c r="Y111" i="13"/>
  <c r="W20" i="14"/>
  <c r="X20" i="14" s="1"/>
  <c r="Z94" i="14"/>
  <c r="Z89" i="14" s="1"/>
  <c r="Z97" i="14"/>
  <c r="Z100" i="14"/>
  <c r="T102" i="14"/>
  <c r="Z109" i="14"/>
  <c r="Z102" i="14" s="1"/>
  <c r="Z112" i="14"/>
  <c r="J6" i="5" l="1"/>
  <c r="M10" i="3"/>
  <c r="N10" i="3" s="1"/>
  <c r="Q11" i="11"/>
  <c r="F39" i="6"/>
  <c r="G39" i="6" s="1"/>
  <c r="M12" i="3"/>
  <c r="N12" i="3" s="1"/>
  <c r="Y13" i="13"/>
  <c r="Z13" i="13" s="1"/>
  <c r="X13" i="13"/>
  <c r="W13" i="13"/>
  <c r="AC13" i="13" s="1"/>
  <c r="Y75" i="13"/>
  <c r="Z75" i="13" s="1"/>
  <c r="X75" i="13"/>
  <c r="W75" i="13"/>
  <c r="AB75" i="13"/>
  <c r="AA75" i="13"/>
  <c r="Y38" i="13"/>
  <c r="Z38" i="13" s="1"/>
  <c r="X38" i="13"/>
  <c r="W38" i="13"/>
  <c r="AA38" i="13"/>
  <c r="AB38" i="13"/>
  <c r="Y22" i="14"/>
  <c r="V22" i="14"/>
  <c r="U22" i="14"/>
  <c r="Z22" i="14"/>
  <c r="W22" i="14"/>
  <c r="X22" i="14" s="1"/>
  <c r="AB112" i="13"/>
  <c r="X112" i="13"/>
  <c r="AA112" i="13"/>
  <c r="Y112" i="13"/>
  <c r="Z112" i="13" s="1"/>
  <c r="W112" i="13"/>
  <c r="AB88" i="13"/>
  <c r="AA88" i="13"/>
  <c r="X88" i="13"/>
  <c r="W88" i="13"/>
  <c r="Y88" i="13"/>
  <c r="Z88" i="13" s="1"/>
  <c r="M21" i="11"/>
  <c r="Q21" i="11" s="1"/>
  <c r="R21" i="11" s="1"/>
  <c r="S21" i="11" s="1"/>
  <c r="O19" i="13"/>
  <c r="Q15" i="13"/>
  <c r="U14" i="13"/>
  <c r="Y8" i="13"/>
  <c r="Z8" i="13" s="1"/>
  <c r="X8" i="13"/>
  <c r="W8" i="13"/>
  <c r="AC8" i="13" s="1"/>
  <c r="U22" i="13"/>
  <c r="E34" i="10"/>
  <c r="F34" i="10" s="1"/>
  <c r="G34" i="10" s="1"/>
  <c r="F35" i="10"/>
  <c r="G35" i="10" s="1"/>
  <c r="Q15" i="11"/>
  <c r="M15" i="11"/>
  <c r="M49" i="10"/>
  <c r="N49" i="10" s="1"/>
  <c r="O49" i="10" s="1"/>
  <c r="N50" i="10"/>
  <c r="O50" i="10" s="1"/>
  <c r="R29" i="11"/>
  <c r="S29" i="11" s="1"/>
  <c r="S10" i="14"/>
  <c r="F11" i="14"/>
  <c r="Y60" i="13"/>
  <c r="X60" i="13"/>
  <c r="W60" i="13"/>
  <c r="AB60" i="13"/>
  <c r="AA60" i="13"/>
  <c r="U24" i="13"/>
  <c r="F25" i="13"/>
  <c r="Q25" i="13"/>
  <c r="R25" i="13" s="1"/>
  <c r="M25" i="11"/>
  <c r="Q25" i="11" s="1"/>
  <c r="R25" i="11" s="1"/>
  <c r="S25" i="11" s="1"/>
  <c r="AC86" i="13"/>
  <c r="M50" i="3"/>
  <c r="N50" i="3" s="1"/>
  <c r="L49" i="3"/>
  <c r="F18" i="3"/>
  <c r="G18" i="3" s="1"/>
  <c r="E17" i="3"/>
  <c r="E17" i="10"/>
  <c r="F17" i="10" s="1"/>
  <c r="G17" i="10" s="1"/>
  <c r="F18" i="10"/>
  <c r="G18" i="10" s="1"/>
  <c r="X146" i="5"/>
  <c r="F146" i="5"/>
  <c r="L48" i="3"/>
  <c r="E22" i="10"/>
  <c r="F22" i="10" s="1"/>
  <c r="F23" i="10"/>
  <c r="W7" i="5"/>
  <c r="AB94" i="14"/>
  <c r="AB89" i="14" s="1"/>
  <c r="V89" i="14"/>
  <c r="AA9" i="14"/>
  <c r="AB99" i="13"/>
  <c r="X99" i="13"/>
  <c r="Y99" i="13"/>
  <c r="Z99" i="13" s="1"/>
  <c r="AA99" i="13"/>
  <c r="W99" i="13"/>
  <c r="AB49" i="13"/>
  <c r="AA49" i="13"/>
  <c r="Y49" i="13"/>
  <c r="Z49" i="13" s="1"/>
  <c r="X49" i="13"/>
  <c r="W49" i="13"/>
  <c r="AC49" i="13" s="1"/>
  <c r="U74" i="13"/>
  <c r="S12" i="13"/>
  <c r="R12" i="13"/>
  <c r="U12" i="13" s="1"/>
  <c r="J9" i="11"/>
  <c r="M52" i="3"/>
  <c r="N52" i="3" s="1"/>
  <c r="D18" i="2"/>
  <c r="F35" i="3"/>
  <c r="G35" i="3" s="1"/>
  <c r="Q29" i="11"/>
  <c r="M29" i="11"/>
  <c r="X154" i="5"/>
  <c r="Z34" i="14"/>
  <c r="W34" i="14"/>
  <c r="X34" i="14" s="1"/>
  <c r="V34" i="14"/>
  <c r="Y34" i="14"/>
  <c r="U34" i="14"/>
  <c r="AA20" i="14"/>
  <c r="S35" i="14"/>
  <c r="R36" i="14"/>
  <c r="Q90" i="13"/>
  <c r="R90" i="13" s="1"/>
  <c r="F90" i="13"/>
  <c r="U89" i="13"/>
  <c r="Y21" i="13"/>
  <c r="X21" i="13"/>
  <c r="W21" i="13"/>
  <c r="AB21" i="13"/>
  <c r="AA21" i="13"/>
  <c r="Z46" i="13"/>
  <c r="F52" i="8"/>
  <c r="G52" i="8" s="1"/>
  <c r="Q51" i="8"/>
  <c r="F51" i="8" s="1"/>
  <c r="G51" i="8" s="1"/>
  <c r="H51" i="8" s="1"/>
  <c r="Y9" i="13"/>
  <c r="Z9" i="13" s="1"/>
  <c r="X9" i="13"/>
  <c r="W9" i="13"/>
  <c r="AC9" i="13" s="1"/>
  <c r="M31" i="11"/>
  <c r="Q31" i="11" s="1"/>
  <c r="R31" i="11" s="1"/>
  <c r="S31" i="11" s="1"/>
  <c r="L7" i="10"/>
  <c r="Y48" i="5"/>
  <c r="Y75" i="5"/>
  <c r="U74" i="5"/>
  <c r="Y74" i="5" s="1"/>
  <c r="U76" i="13"/>
  <c r="Q77" i="13"/>
  <c r="R77" i="13" s="1"/>
  <c r="F77" i="13"/>
  <c r="R23" i="11"/>
  <c r="S23" i="11" s="1"/>
  <c r="M11" i="10"/>
  <c r="M11" i="3"/>
  <c r="L9" i="3"/>
  <c r="F8" i="5"/>
  <c r="G8" i="5" s="1"/>
  <c r="E7" i="5"/>
  <c r="X8" i="5"/>
  <c r="X94" i="5"/>
  <c r="F94" i="5"/>
  <c r="G94" i="5" s="1"/>
  <c r="E93" i="5"/>
  <c r="M47" i="10"/>
  <c r="N47" i="10" s="1"/>
  <c r="M47" i="3"/>
  <c r="Z7" i="13"/>
  <c r="Q23" i="11"/>
  <c r="M23" i="11"/>
  <c r="M37" i="11"/>
  <c r="Q37" i="11" s="1"/>
  <c r="R37" i="11" s="1"/>
  <c r="S37" i="11" s="1"/>
  <c r="Y39" i="13"/>
  <c r="Z39" i="13" s="1"/>
  <c r="X39" i="13"/>
  <c r="W39" i="13"/>
  <c r="AC39" i="13" s="1"/>
  <c r="AB39" i="13"/>
  <c r="AA39" i="13"/>
  <c r="Q18" i="13"/>
  <c r="I12" i="2"/>
  <c r="F29" i="3"/>
  <c r="G29" i="3" s="1"/>
  <c r="F27" i="3"/>
  <c r="F35" i="6"/>
  <c r="O63" i="13"/>
  <c r="U62" i="13"/>
  <c r="M26" i="10"/>
  <c r="N26" i="10" s="1"/>
  <c r="O26" i="10" s="1"/>
  <c r="N27" i="10"/>
  <c r="O27" i="10" s="1"/>
  <c r="Q70" i="13"/>
  <c r="R70" i="13" s="1"/>
  <c r="F70" i="13"/>
  <c r="F58" i="13"/>
  <c r="M33" i="11"/>
  <c r="Q33" i="11" s="1"/>
  <c r="R33" i="11" s="1"/>
  <c r="S33" i="11" s="1"/>
  <c r="Z98" i="13"/>
  <c r="Z111" i="13"/>
  <c r="R19" i="11"/>
  <c r="S19" i="11" s="1"/>
  <c r="R58" i="13"/>
  <c r="M35" i="11"/>
  <c r="Q35" i="11"/>
  <c r="R35" i="11" s="1"/>
  <c r="S35" i="11" s="1"/>
  <c r="AB50" i="13"/>
  <c r="AA50" i="13"/>
  <c r="Y50" i="13"/>
  <c r="Z50" i="13" s="1"/>
  <c r="X50" i="13"/>
  <c r="W50" i="13"/>
  <c r="AC50" i="13" s="1"/>
  <c r="Y37" i="13"/>
  <c r="Z37" i="13" s="1"/>
  <c r="W37" i="13"/>
  <c r="AB37" i="13"/>
  <c r="AA37" i="13"/>
  <c r="X37" i="13"/>
  <c r="M41" i="13"/>
  <c r="M32" i="13" s="1"/>
  <c r="Q42" i="13"/>
  <c r="R42" i="13" s="1"/>
  <c r="M27" i="11"/>
  <c r="Q27" i="11" s="1"/>
  <c r="R27" i="11" s="1"/>
  <c r="S27" i="11" s="1"/>
  <c r="L46" i="3"/>
  <c r="E113" i="5"/>
  <c r="F138" i="5"/>
  <c r="Y73" i="13"/>
  <c r="Z73" i="13" s="1"/>
  <c r="X73" i="13"/>
  <c r="W73" i="13"/>
  <c r="AB73" i="13"/>
  <c r="AA73" i="13"/>
  <c r="Y10" i="13"/>
  <c r="Z10" i="13" s="1"/>
  <c r="X10" i="13"/>
  <c r="W10" i="13"/>
  <c r="AC10" i="13" s="1"/>
  <c r="AB112" i="14"/>
  <c r="Q116" i="13"/>
  <c r="R116" i="13" s="1"/>
  <c r="F116" i="13"/>
  <c r="U115" i="13"/>
  <c r="M17" i="11"/>
  <c r="Q17" i="11"/>
  <c r="R17" i="11" s="1"/>
  <c r="S17" i="11" s="1"/>
  <c r="AB47" i="13"/>
  <c r="AA47" i="13"/>
  <c r="Y47" i="13"/>
  <c r="Z47" i="13" s="1"/>
  <c r="X47" i="13"/>
  <c r="W47" i="13"/>
  <c r="AC47" i="13" s="1"/>
  <c r="U51" i="13"/>
  <c r="Q52" i="13"/>
  <c r="R52" i="13" s="1"/>
  <c r="F52" i="13"/>
  <c r="Y34" i="13"/>
  <c r="Z34" i="13" s="1"/>
  <c r="AB34" i="13"/>
  <c r="AA34" i="13"/>
  <c r="X34" i="13"/>
  <c r="W34" i="13"/>
  <c r="Q41" i="13"/>
  <c r="R41" i="13" s="1"/>
  <c r="F42" i="13"/>
  <c r="U40" i="13"/>
  <c r="P13" i="11"/>
  <c r="O13" i="11"/>
  <c r="N13" i="11"/>
  <c r="L13" i="11"/>
  <c r="K13" i="11"/>
  <c r="F6" i="13"/>
  <c r="M32" i="3"/>
  <c r="N32" i="3" s="1"/>
  <c r="K8" i="3"/>
  <c r="M53" i="3"/>
  <c r="N53" i="3" s="1"/>
  <c r="F11" i="9"/>
  <c r="F6" i="9" s="1"/>
  <c r="E5" i="9" s="1"/>
  <c r="H93" i="5"/>
  <c r="W113" i="5"/>
  <c r="Y113" i="5" s="1"/>
  <c r="G8" i="7"/>
  <c r="H8" i="7" s="1"/>
  <c r="F7" i="7"/>
  <c r="Z33" i="13"/>
  <c r="M39" i="11"/>
  <c r="Q39" i="11" s="1"/>
  <c r="R39" i="11" s="1"/>
  <c r="S39" i="11" s="1"/>
  <c r="AB109" i="14"/>
  <c r="AB102" i="14" s="1"/>
  <c r="V102" i="14"/>
  <c r="U113" i="13"/>
  <c r="R11" i="11"/>
  <c r="S11" i="11" s="1"/>
  <c r="R6" i="14"/>
  <c r="AA21" i="14"/>
  <c r="AB87" i="13"/>
  <c r="AA87" i="13"/>
  <c r="X87" i="13"/>
  <c r="W87" i="13"/>
  <c r="Y87" i="13"/>
  <c r="Z87" i="13" s="1"/>
  <c r="Q17" i="13"/>
  <c r="U61" i="13"/>
  <c r="Y23" i="14"/>
  <c r="V23" i="14"/>
  <c r="U23" i="14"/>
  <c r="Z23" i="14"/>
  <c r="W23" i="14"/>
  <c r="X23" i="14" s="1"/>
  <c r="F8" i="8"/>
  <c r="E26" i="10"/>
  <c r="F26" i="10" s="1"/>
  <c r="F27" i="10"/>
  <c r="E8" i="10"/>
  <c r="F9" i="10"/>
  <c r="G9" i="10" s="1"/>
  <c r="AC36" i="13"/>
  <c r="D24" i="9"/>
  <c r="D23" i="9" s="1"/>
  <c r="F25" i="4"/>
  <c r="W6" i="7"/>
  <c r="Z72" i="13"/>
  <c r="AB100" i="14"/>
  <c r="Z85" i="13"/>
  <c r="AC85" i="13" s="1"/>
  <c r="AC33" i="13"/>
  <c r="Y35" i="13"/>
  <c r="Z35" i="13" s="1"/>
  <c r="W35" i="13"/>
  <c r="AB35" i="13"/>
  <c r="AA35" i="13"/>
  <c r="X35" i="13"/>
  <c r="AC59" i="13"/>
  <c r="W11" i="13"/>
  <c r="Y11" i="13"/>
  <c r="Z11" i="13" s="1"/>
  <c r="X11" i="13"/>
  <c r="U23" i="13"/>
  <c r="AC48" i="13"/>
  <c r="M15" i="13"/>
  <c r="M6" i="13" s="1"/>
  <c r="Q16" i="13"/>
  <c r="R25" i="14"/>
  <c r="S24" i="14"/>
  <c r="F9" i="3"/>
  <c r="G9" i="3" s="1"/>
  <c r="E8" i="3"/>
  <c r="U93" i="5"/>
  <c r="G52" i="7"/>
  <c r="H52" i="7" s="1"/>
  <c r="F51" i="7"/>
  <c r="G51" i="7" s="1"/>
  <c r="H51" i="7" s="1"/>
  <c r="L26" i="3"/>
  <c r="M27" i="3"/>
  <c r="N27" i="3" s="1"/>
  <c r="N32" i="10"/>
  <c r="O32" i="10" s="1"/>
  <c r="V9" i="7"/>
  <c r="W9" i="7" s="1"/>
  <c r="E29" i="10"/>
  <c r="F29" i="10" s="1"/>
  <c r="G29" i="10" s="1"/>
  <c r="F30" i="10"/>
  <c r="G30" i="10" s="1"/>
  <c r="AB100" i="13"/>
  <c r="X100" i="13"/>
  <c r="AA100" i="13"/>
  <c r="Y100" i="13"/>
  <c r="Z100" i="13" s="1"/>
  <c r="W100" i="13"/>
  <c r="AC100" i="13" s="1"/>
  <c r="U114" i="13"/>
  <c r="K12" i="6"/>
  <c r="Q12" i="6" s="1"/>
  <c r="U26" i="5"/>
  <c r="U25" i="5" s="1"/>
  <c r="U16" i="5" s="1"/>
  <c r="AB101" i="13"/>
  <c r="X101" i="13"/>
  <c r="AA101" i="13"/>
  <c r="Y101" i="13"/>
  <c r="Z101" i="13" s="1"/>
  <c r="W101" i="13"/>
  <c r="AC101" i="13" s="1"/>
  <c r="AB97" i="14"/>
  <c r="R7" i="11"/>
  <c r="M19" i="11"/>
  <c r="Q19" i="11"/>
  <c r="Q103" i="13"/>
  <c r="R103" i="13" s="1"/>
  <c r="F103" i="13"/>
  <c r="U102" i="13"/>
  <c r="S14" i="13"/>
  <c r="R14" i="13"/>
  <c r="K31" i="3"/>
  <c r="D15" i="9"/>
  <c r="D14" i="9" s="1"/>
  <c r="C5" i="9" s="1"/>
  <c r="E6" i="4"/>
  <c r="F7" i="4"/>
  <c r="R15" i="11"/>
  <c r="S15" i="11" s="1"/>
  <c r="F152" i="5"/>
  <c r="G152" i="5" s="1"/>
  <c r="Y16" i="5" l="1"/>
  <c r="N28" i="5"/>
  <c r="N30" i="5"/>
  <c r="N31" i="5" s="1"/>
  <c r="N33" i="5" s="1"/>
  <c r="N34" i="5" s="1"/>
  <c r="U6" i="13"/>
  <c r="N11" i="10"/>
  <c r="M9" i="10"/>
  <c r="E7" i="10"/>
  <c r="F7" i="10" s="1"/>
  <c r="G7" i="10" s="1"/>
  <c r="F8" i="10"/>
  <c r="G8" i="10" s="1"/>
  <c r="F6" i="7"/>
  <c r="G7" i="7"/>
  <c r="F53" i="13"/>
  <c r="F57" i="13"/>
  <c r="F54" i="13"/>
  <c r="U52" i="13"/>
  <c r="F55" i="13"/>
  <c r="Q53" i="13"/>
  <c r="R53" i="13" s="1"/>
  <c r="F56" i="13"/>
  <c r="F45" i="13" s="1"/>
  <c r="AC73" i="13"/>
  <c r="U77" i="13"/>
  <c r="Q78" i="13"/>
  <c r="R78" i="13" s="1"/>
  <c r="F78" i="13"/>
  <c r="AC38" i="13"/>
  <c r="R15" i="13"/>
  <c r="R6" i="13" s="1"/>
  <c r="S15" i="13"/>
  <c r="AC87" i="13"/>
  <c r="AA34" i="14"/>
  <c r="AC75" i="13"/>
  <c r="AB114" i="13"/>
  <c r="X114" i="13"/>
  <c r="AA114" i="13"/>
  <c r="Y114" i="13"/>
  <c r="Z114" i="13" s="1"/>
  <c r="W114" i="13"/>
  <c r="G8" i="8"/>
  <c r="F7" i="8"/>
  <c r="F6" i="8" s="1"/>
  <c r="AB115" i="13"/>
  <c r="X115" i="13"/>
  <c r="AA115" i="13"/>
  <c r="W115" i="13"/>
  <c r="Y115" i="13"/>
  <c r="Z115" i="13" s="1"/>
  <c r="F93" i="5"/>
  <c r="G93" i="5" s="1"/>
  <c r="Y76" i="13"/>
  <c r="Z76" i="13" s="1"/>
  <c r="X76" i="13"/>
  <c r="W76" i="13"/>
  <c r="AB76" i="13"/>
  <c r="AA76" i="13"/>
  <c r="M13" i="11"/>
  <c r="Q13" i="11" s="1"/>
  <c r="R13" i="11" s="1"/>
  <c r="S13" i="11" s="1"/>
  <c r="AC112" i="13"/>
  <c r="I16" i="2"/>
  <c r="M26" i="3"/>
  <c r="N26" i="3" s="1"/>
  <c r="Q117" i="13"/>
  <c r="R117" i="13" s="1"/>
  <c r="U116" i="13"/>
  <c r="F117" i="13"/>
  <c r="G138" i="5"/>
  <c r="F113" i="5"/>
  <c r="G113" i="5" s="1"/>
  <c r="AC37" i="13"/>
  <c r="AC21" i="13"/>
  <c r="J41" i="11"/>
  <c r="K15" i="6" s="1"/>
  <c r="K17" i="6" s="1"/>
  <c r="K19" i="6" s="1"/>
  <c r="K20" i="6" s="1"/>
  <c r="K21" i="6" s="1"/>
  <c r="O9" i="11"/>
  <c r="O41" i="11" s="1"/>
  <c r="U33" i="5" s="1"/>
  <c r="N9" i="11"/>
  <c r="N41" i="11" s="1"/>
  <c r="U30" i="5" s="1"/>
  <c r="L9" i="11"/>
  <c r="K9" i="11"/>
  <c r="P9" i="11"/>
  <c r="P41" i="11" s="1"/>
  <c r="U34" i="5" s="1"/>
  <c r="M48" i="10"/>
  <c r="N48" i="10" s="1"/>
  <c r="M48" i="3"/>
  <c r="Z35" i="14"/>
  <c r="Y35" i="14"/>
  <c r="W35" i="14"/>
  <c r="X35" i="14" s="1"/>
  <c r="U35" i="14"/>
  <c r="V35" i="14"/>
  <c r="M49" i="3"/>
  <c r="N49" i="3" s="1"/>
  <c r="I17" i="2"/>
  <c r="AC11" i="13"/>
  <c r="Y40" i="13"/>
  <c r="Z40" i="13" s="1"/>
  <c r="X40" i="13"/>
  <c r="W40" i="13"/>
  <c r="AB40" i="13"/>
  <c r="AA40" i="13"/>
  <c r="X113" i="5"/>
  <c r="AC111" i="13"/>
  <c r="AB62" i="13"/>
  <c r="AA62" i="13"/>
  <c r="Y62" i="13"/>
  <c r="Z62" i="13" s="1"/>
  <c r="X62" i="13"/>
  <c r="W62" i="13"/>
  <c r="AC99" i="13"/>
  <c r="Q6" i="8"/>
  <c r="AA23" i="13"/>
  <c r="Y23" i="13"/>
  <c r="Z23" i="13" s="1"/>
  <c r="X23" i="13"/>
  <c r="W23" i="13"/>
  <c r="AB23" i="13"/>
  <c r="U42" i="13"/>
  <c r="Q43" i="13"/>
  <c r="R43" i="13" s="1"/>
  <c r="F43" i="13"/>
  <c r="M46" i="10"/>
  <c r="M46" i="3"/>
  <c r="N46" i="3" s="1"/>
  <c r="L38" i="3"/>
  <c r="O64" i="13"/>
  <c r="U63" i="13"/>
  <c r="Z21" i="13"/>
  <c r="Y12" i="13"/>
  <c r="X12" i="13"/>
  <c r="W12" i="13"/>
  <c r="Z60" i="13"/>
  <c r="AC60" i="13" s="1"/>
  <c r="S7" i="11"/>
  <c r="AB51" i="13"/>
  <c r="AA51" i="13"/>
  <c r="Y51" i="13"/>
  <c r="X51" i="13"/>
  <c r="W51" i="13"/>
  <c r="K7" i="3"/>
  <c r="G35" i="6"/>
  <c r="F34" i="6"/>
  <c r="G34" i="6" s="1"/>
  <c r="F7" i="5"/>
  <c r="G7" i="5" s="1"/>
  <c r="E6" i="5"/>
  <c r="X7" i="5"/>
  <c r="AB89" i="13"/>
  <c r="AA89" i="13"/>
  <c r="X89" i="13"/>
  <c r="W89" i="13"/>
  <c r="Y89" i="13"/>
  <c r="Z89" i="13" s="1"/>
  <c r="U25" i="13"/>
  <c r="Q26" i="13"/>
  <c r="R26" i="13" s="1"/>
  <c r="F26" i="13"/>
  <c r="Y22" i="13"/>
  <c r="Z22" i="13" s="1"/>
  <c r="X22" i="13"/>
  <c r="W22" i="13"/>
  <c r="AC22" i="13" s="1"/>
  <c r="AB22" i="13"/>
  <c r="AA22" i="13"/>
  <c r="AC88" i="13"/>
  <c r="W93" i="5"/>
  <c r="Y93" i="5" s="1"/>
  <c r="H6" i="5"/>
  <c r="W6" i="5" s="1"/>
  <c r="AB102" i="13"/>
  <c r="X102" i="13"/>
  <c r="Y102" i="13"/>
  <c r="Z102" i="13" s="1"/>
  <c r="AA102" i="13"/>
  <c r="W102" i="13"/>
  <c r="AC102" i="13" s="1"/>
  <c r="AA23" i="14"/>
  <c r="Q104" i="13"/>
  <c r="R104" i="13" s="1"/>
  <c r="U103" i="13"/>
  <c r="F104" i="13"/>
  <c r="Y24" i="14"/>
  <c r="W24" i="14"/>
  <c r="X24" i="14" s="1"/>
  <c r="U24" i="14"/>
  <c r="Z24" i="14"/>
  <c r="V24" i="14"/>
  <c r="F6" i="4"/>
  <c r="G6" i="4" s="1"/>
  <c r="G7" i="4"/>
  <c r="R26" i="14"/>
  <c r="S25" i="14"/>
  <c r="AC46" i="13"/>
  <c r="AC34" i="13"/>
  <c r="Q91" i="13"/>
  <c r="R91" i="13" s="1"/>
  <c r="F91" i="13"/>
  <c r="U90" i="13"/>
  <c r="AC72" i="13"/>
  <c r="AB24" i="13"/>
  <c r="AA24" i="13"/>
  <c r="Y24" i="13"/>
  <c r="Z24" i="13" s="1"/>
  <c r="X24" i="13"/>
  <c r="W24" i="13"/>
  <c r="AC24" i="13" s="1"/>
  <c r="AA22" i="14"/>
  <c r="S18" i="13"/>
  <c r="S6" i="13" s="1"/>
  <c r="S5" i="13" s="1"/>
  <c r="R18" i="13"/>
  <c r="U18" i="13" s="1"/>
  <c r="Y14" i="13"/>
  <c r="Z14" i="13" s="1"/>
  <c r="X14" i="13"/>
  <c r="W14" i="13"/>
  <c r="AC14" i="13" s="1"/>
  <c r="U15" i="13"/>
  <c r="AC35" i="13"/>
  <c r="AB61" i="13"/>
  <c r="AA61" i="13"/>
  <c r="Y61" i="13"/>
  <c r="Z61" i="13" s="1"/>
  <c r="X61" i="13"/>
  <c r="W61" i="13"/>
  <c r="L8" i="3"/>
  <c r="M9" i="3"/>
  <c r="N9" i="3" s="1"/>
  <c r="D11" i="2"/>
  <c r="F17" i="3"/>
  <c r="G17" i="3" s="1"/>
  <c r="F12" i="14"/>
  <c r="S11" i="14"/>
  <c r="U41" i="13"/>
  <c r="AB113" i="13"/>
  <c r="X113" i="13"/>
  <c r="AA113" i="13"/>
  <c r="Y113" i="13"/>
  <c r="W113" i="13"/>
  <c r="E7" i="3"/>
  <c r="F8" i="3"/>
  <c r="G8" i="3" s="1"/>
  <c r="D10" i="2"/>
  <c r="F12" i="6"/>
  <c r="Q10" i="6"/>
  <c r="S16" i="13"/>
  <c r="R16" i="13"/>
  <c r="U16" i="13" s="1"/>
  <c r="S17" i="13"/>
  <c r="R17" i="13"/>
  <c r="U17" i="13" s="1"/>
  <c r="AC7" i="13"/>
  <c r="S36" i="14"/>
  <c r="R37" i="14"/>
  <c r="Y74" i="13"/>
  <c r="Z74" i="13" s="1"/>
  <c r="X74" i="13"/>
  <c r="W74" i="13"/>
  <c r="AB74" i="13"/>
  <c r="AA74" i="13"/>
  <c r="AC98" i="13"/>
  <c r="U10" i="14"/>
  <c r="Y10" i="14"/>
  <c r="W10" i="14"/>
  <c r="V10" i="14"/>
  <c r="Z10" i="14"/>
  <c r="S37" i="14" l="1"/>
  <c r="R38" i="14"/>
  <c r="AB103" i="13"/>
  <c r="X103" i="13"/>
  <c r="AA103" i="13"/>
  <c r="Y103" i="13"/>
  <c r="Z103" i="13" s="1"/>
  <c r="W103" i="13"/>
  <c r="AC40" i="13"/>
  <c r="U43" i="13"/>
  <c r="Q44" i="13"/>
  <c r="R44" i="13" s="1"/>
  <c r="R32" i="13" s="1"/>
  <c r="F44" i="13"/>
  <c r="X10" i="14"/>
  <c r="Z113" i="13"/>
  <c r="S26" i="14"/>
  <c r="R27" i="14"/>
  <c r="AC51" i="13"/>
  <c r="X42" i="13"/>
  <c r="W42" i="13"/>
  <c r="Y42" i="13"/>
  <c r="Z42" i="13" s="1"/>
  <c r="AB42" i="13"/>
  <c r="AA42" i="13"/>
  <c r="AC62" i="13"/>
  <c r="AC115" i="13"/>
  <c r="M8" i="10"/>
  <c r="N9" i="10"/>
  <c r="O9" i="10" s="1"/>
  <c r="X93" i="5"/>
  <c r="Z12" i="13"/>
  <c r="Z6" i="13" s="1"/>
  <c r="Y6" i="13"/>
  <c r="Q57" i="13"/>
  <c r="R57" i="13" s="1"/>
  <c r="Q105" i="13"/>
  <c r="R105" i="13" s="1"/>
  <c r="U104" i="13"/>
  <c r="F105" i="13"/>
  <c r="AA10" i="14"/>
  <c r="F6" i="5"/>
  <c r="G6" i="5" s="1"/>
  <c r="X6" i="5"/>
  <c r="AC23" i="13"/>
  <c r="Q56" i="13"/>
  <c r="R56" i="13" s="1"/>
  <c r="U56" i="13" s="1"/>
  <c r="X41" i="13"/>
  <c r="W41" i="13"/>
  <c r="AB41" i="13"/>
  <c r="AA41" i="13"/>
  <c r="Y41" i="13"/>
  <c r="Z41" i="13" s="1"/>
  <c r="AB90" i="13"/>
  <c r="AA90" i="13"/>
  <c r="X90" i="13"/>
  <c r="W90" i="13"/>
  <c r="Y90" i="13"/>
  <c r="Z90" i="13" s="1"/>
  <c r="AB63" i="13"/>
  <c r="AA63" i="13"/>
  <c r="W63" i="13"/>
  <c r="Y63" i="13"/>
  <c r="Z63" i="13" s="1"/>
  <c r="X63" i="13"/>
  <c r="Q118" i="13"/>
  <c r="R118" i="13" s="1"/>
  <c r="F118" i="13"/>
  <c r="U117" i="13"/>
  <c r="AB52" i="13"/>
  <c r="AA52" i="13"/>
  <c r="Y52" i="13"/>
  <c r="Z52" i="13" s="1"/>
  <c r="X52" i="13"/>
  <c r="W52" i="13"/>
  <c r="F7" i="3"/>
  <c r="G7" i="3" s="1"/>
  <c r="D7" i="2"/>
  <c r="Y15" i="13"/>
  <c r="Z15" i="13" s="1"/>
  <c r="X15" i="13"/>
  <c r="W15" i="13"/>
  <c r="Z51" i="13"/>
  <c r="Q92" i="13"/>
  <c r="R92" i="13" s="1"/>
  <c r="F92" i="13"/>
  <c r="U91" i="13"/>
  <c r="F27" i="13"/>
  <c r="Q27" i="13"/>
  <c r="R27" i="13" s="1"/>
  <c r="U26" i="13"/>
  <c r="O65" i="13"/>
  <c r="U64" i="13"/>
  <c r="AB116" i="13"/>
  <c r="X116" i="13"/>
  <c r="AA116" i="13"/>
  <c r="Y116" i="13"/>
  <c r="Z116" i="13" s="1"/>
  <c r="W116" i="13"/>
  <c r="H8" i="8"/>
  <c r="G7" i="8"/>
  <c r="M54" i="13"/>
  <c r="M45" i="13" s="1"/>
  <c r="Q55" i="13"/>
  <c r="R55" i="13" s="1"/>
  <c r="U55" i="13" s="1"/>
  <c r="AC89" i="13"/>
  <c r="D16" i="2"/>
  <c r="M8" i="3"/>
  <c r="N8" i="3" s="1"/>
  <c r="W16" i="13"/>
  <c r="AC16" i="13" s="1"/>
  <c r="Y16" i="13"/>
  <c r="Z16" i="13" s="1"/>
  <c r="X16" i="13"/>
  <c r="AC74" i="13"/>
  <c r="Y18" i="13"/>
  <c r="Z18" i="13" s="1"/>
  <c r="X18" i="13"/>
  <c r="X6" i="13" s="1"/>
  <c r="W18" i="13"/>
  <c r="AA24" i="14"/>
  <c r="M38" i="3"/>
  <c r="N38" i="3" s="1"/>
  <c r="L31" i="3"/>
  <c r="L7" i="3" s="1"/>
  <c r="M7" i="3" s="1"/>
  <c r="N7" i="3" s="1"/>
  <c r="K41" i="11"/>
  <c r="AC76" i="13"/>
  <c r="U57" i="13"/>
  <c r="AJ5" i="7"/>
  <c r="Z8" i="7"/>
  <c r="V25" i="14"/>
  <c r="Z25" i="14"/>
  <c r="W25" i="14"/>
  <c r="X25" i="14" s="1"/>
  <c r="Y25" i="14"/>
  <c r="U25" i="14"/>
  <c r="G12" i="6"/>
  <c r="F10" i="6"/>
  <c r="W11" i="14"/>
  <c r="X11" i="14" s="1"/>
  <c r="Y11" i="14"/>
  <c r="Z11" i="14"/>
  <c r="V11" i="14"/>
  <c r="U11" i="14"/>
  <c r="AC61" i="13"/>
  <c r="AB25" i="13"/>
  <c r="AA25" i="13"/>
  <c r="Y25" i="13"/>
  <c r="X25" i="13"/>
  <c r="W25" i="13"/>
  <c r="AA35" i="14"/>
  <c r="M9" i="11"/>
  <c r="M41" i="11" s="1"/>
  <c r="U32" i="5" s="1"/>
  <c r="L41" i="11"/>
  <c r="U31" i="5" s="1"/>
  <c r="N32" i="5" s="1"/>
  <c r="AC114" i="13"/>
  <c r="U78" i="13"/>
  <c r="Q79" i="13"/>
  <c r="R79" i="13" s="1"/>
  <c r="F79" i="13"/>
  <c r="Q54" i="13"/>
  <c r="R54" i="13" s="1"/>
  <c r="U54" i="13" s="1"/>
  <c r="U53" i="13"/>
  <c r="Y77" i="13"/>
  <c r="Z77" i="13" s="1"/>
  <c r="X77" i="13"/>
  <c r="W77" i="13"/>
  <c r="AB77" i="13"/>
  <c r="AA77" i="13"/>
  <c r="Z36" i="14"/>
  <c r="V36" i="14"/>
  <c r="U36" i="14"/>
  <c r="Y36" i="14"/>
  <c r="W36" i="14"/>
  <c r="X36" i="14" s="1"/>
  <c r="X17" i="13"/>
  <c r="Y17" i="13"/>
  <c r="Z17" i="13" s="1"/>
  <c r="W17" i="13"/>
  <c r="AC17" i="13" s="1"/>
  <c r="F13" i="14"/>
  <c r="S12" i="14"/>
  <c r="N46" i="10"/>
  <c r="M38" i="10"/>
  <c r="G6" i="7"/>
  <c r="H6" i="7" s="1"/>
  <c r="H7" i="7"/>
  <c r="AB54" i="13" l="1"/>
  <c r="AA54" i="13"/>
  <c r="Y54" i="13"/>
  <c r="Z54" i="13" s="1"/>
  <c r="X54" i="13"/>
  <c r="W54" i="13"/>
  <c r="AB55" i="13"/>
  <c r="AA55" i="13"/>
  <c r="Y55" i="13"/>
  <c r="Z55" i="13" s="1"/>
  <c r="X55" i="13"/>
  <c r="W55" i="13"/>
  <c r="AB56" i="13"/>
  <c r="AA56" i="13"/>
  <c r="Y56" i="13"/>
  <c r="Z56" i="13" s="1"/>
  <c r="X56" i="13"/>
  <c r="W56" i="13"/>
  <c r="X91" i="13"/>
  <c r="AB91" i="13"/>
  <c r="Y91" i="13"/>
  <c r="AA91" i="13"/>
  <c r="W91" i="13"/>
  <c r="AC52" i="13"/>
  <c r="W37" i="14"/>
  <c r="X37" i="14" s="1"/>
  <c r="Y37" i="14"/>
  <c r="Z37" i="14"/>
  <c r="V37" i="14"/>
  <c r="U37" i="14"/>
  <c r="Q28" i="13"/>
  <c r="R28" i="13" s="1"/>
  <c r="F29" i="13"/>
  <c r="F28" i="13"/>
  <c r="U27" i="13"/>
  <c r="Q9" i="11"/>
  <c r="AC77" i="13"/>
  <c r="Q93" i="13"/>
  <c r="R93" i="13" s="1"/>
  <c r="F93" i="13"/>
  <c r="U92" i="13"/>
  <c r="R28" i="14"/>
  <c r="S27" i="14"/>
  <c r="AC18" i="13"/>
  <c r="N8" i="10"/>
  <c r="O8" i="10" s="1"/>
  <c r="Y26" i="14"/>
  <c r="V26" i="14"/>
  <c r="U26" i="14"/>
  <c r="Z26" i="14"/>
  <c r="W26" i="14"/>
  <c r="X26" i="14" s="1"/>
  <c r="AC12" i="13"/>
  <c r="AC63" i="13"/>
  <c r="F14" i="14"/>
  <c r="S13" i="14"/>
  <c r="AC103" i="13"/>
  <c r="R45" i="13"/>
  <c r="M31" i="3"/>
  <c r="N31" i="3" s="1"/>
  <c r="D17" i="2"/>
  <c r="Y12" i="14"/>
  <c r="U12" i="14"/>
  <c r="Z12" i="14"/>
  <c r="W12" i="14"/>
  <c r="X12" i="14" s="1"/>
  <c r="V12" i="14"/>
  <c r="G10" i="6"/>
  <c r="Z25" i="13"/>
  <c r="AC90" i="13"/>
  <c r="AA25" i="14"/>
  <c r="W6" i="13"/>
  <c r="AB64" i="13"/>
  <c r="Y64" i="13"/>
  <c r="Z64" i="13" s="1"/>
  <c r="X64" i="13"/>
  <c r="W64" i="13"/>
  <c r="AA64" i="13"/>
  <c r="AB117" i="13"/>
  <c r="X117" i="13"/>
  <c r="AA117" i="13"/>
  <c r="Y117" i="13"/>
  <c r="Z117" i="13" s="1"/>
  <c r="W117" i="13"/>
  <c r="AC117" i="13" s="1"/>
  <c r="U105" i="13"/>
  <c r="Q106" i="13"/>
  <c r="R106" i="13" s="1"/>
  <c r="F106" i="13"/>
  <c r="U79" i="13"/>
  <c r="Q80" i="13"/>
  <c r="R80" i="13" s="1"/>
  <c r="F80" i="13"/>
  <c r="AB57" i="13"/>
  <c r="AA57" i="13"/>
  <c r="AA45" i="13" s="1"/>
  <c r="Y57" i="13"/>
  <c r="Z57" i="13" s="1"/>
  <c r="X57" i="13"/>
  <c r="X45" i="13" s="1"/>
  <c r="W57" i="13"/>
  <c r="O66" i="13"/>
  <c r="U65" i="13"/>
  <c r="AC15" i="13"/>
  <c r="Q119" i="13"/>
  <c r="R119" i="13" s="1"/>
  <c r="U118" i="13"/>
  <c r="F119" i="13"/>
  <c r="AB104" i="13"/>
  <c r="X104" i="13"/>
  <c r="AA104" i="13"/>
  <c r="Y104" i="13"/>
  <c r="W104" i="13"/>
  <c r="AC41" i="13"/>
  <c r="AC113" i="13"/>
  <c r="AA36" i="14"/>
  <c r="U29" i="5"/>
  <c r="Y29" i="5" s="1"/>
  <c r="Y78" i="13"/>
  <c r="Z78" i="13" s="1"/>
  <c r="X78" i="13"/>
  <c r="W78" i="13"/>
  <c r="AB78" i="13"/>
  <c r="AA78" i="13"/>
  <c r="U28" i="5"/>
  <c r="U27" i="5" s="1"/>
  <c r="Q15" i="6"/>
  <c r="G6" i="8"/>
  <c r="H6" i="8" s="1"/>
  <c r="H7" i="8"/>
  <c r="U44" i="13"/>
  <c r="F32" i="13"/>
  <c r="AC116" i="13"/>
  <c r="X43" i="13"/>
  <c r="W43" i="13"/>
  <c r="AB43" i="13"/>
  <c r="AA43" i="13"/>
  <c r="Y43" i="13"/>
  <c r="AC25" i="13"/>
  <c r="AB53" i="13"/>
  <c r="AB45" i="13" s="1"/>
  <c r="AA53" i="13"/>
  <c r="Y53" i="13"/>
  <c r="Z53" i="13" s="1"/>
  <c r="Z45" i="13" s="1"/>
  <c r="X53" i="13"/>
  <c r="W53" i="13"/>
  <c r="AC53" i="13" s="1"/>
  <c r="U45" i="13"/>
  <c r="N38" i="10"/>
  <c r="O38" i="10" s="1"/>
  <c r="M31" i="10"/>
  <c r="N31" i="10" s="1"/>
  <c r="O31" i="10" s="1"/>
  <c r="AA11" i="14"/>
  <c r="AB26" i="13"/>
  <c r="AA26" i="13"/>
  <c r="Y26" i="13"/>
  <c r="Z26" i="13" s="1"/>
  <c r="X26" i="13"/>
  <c r="W26" i="13"/>
  <c r="AC26" i="13" s="1"/>
  <c r="AC42" i="13"/>
  <c r="S38" i="14"/>
  <c r="R39" i="14"/>
  <c r="M7" i="10" l="1"/>
  <c r="N7" i="10" s="1"/>
  <c r="O7" i="10" s="1"/>
  <c r="U106" i="13"/>
  <c r="M106" i="13"/>
  <c r="M97" i="13" s="1"/>
  <c r="Q107" i="13"/>
  <c r="R107" i="13" s="1"/>
  <c r="F107" i="13"/>
  <c r="AC57" i="13"/>
  <c r="AC45" i="13" s="1"/>
  <c r="M93" i="13"/>
  <c r="M84" i="13" s="1"/>
  <c r="Q94" i="13"/>
  <c r="R94" i="13" s="1"/>
  <c r="U93" i="13"/>
  <c r="F94" i="13"/>
  <c r="AC56" i="13"/>
  <c r="AC54" i="13"/>
  <c r="Z38" i="14"/>
  <c r="W38" i="14"/>
  <c r="X38" i="14" s="1"/>
  <c r="V38" i="14"/>
  <c r="Y38" i="14"/>
  <c r="U38" i="14"/>
  <c r="AB105" i="13"/>
  <c r="X105" i="13"/>
  <c r="AA105" i="13"/>
  <c r="Y105" i="13"/>
  <c r="Z105" i="13" s="1"/>
  <c r="W105" i="13"/>
  <c r="AC105" i="13" s="1"/>
  <c r="Z104" i="13"/>
  <c r="AC104" i="13" s="1"/>
  <c r="W13" i="14"/>
  <c r="X13" i="14" s="1"/>
  <c r="U13" i="14"/>
  <c r="Z13" i="14"/>
  <c r="Y13" i="14"/>
  <c r="V13" i="14"/>
  <c r="AC78" i="13"/>
  <c r="Q41" i="11"/>
  <c r="R9" i="11"/>
  <c r="F15" i="14"/>
  <c r="S14" i="14"/>
  <c r="U80" i="13"/>
  <c r="Q81" i="13"/>
  <c r="R81" i="13" s="1"/>
  <c r="F81" i="13"/>
  <c r="M80" i="13"/>
  <c r="M71" i="13" s="1"/>
  <c r="AB27" i="13"/>
  <c r="AA27" i="13"/>
  <c r="Y27" i="13"/>
  <c r="Z27" i="13" s="1"/>
  <c r="X27" i="13"/>
  <c r="W27" i="13"/>
  <c r="W45" i="13"/>
  <c r="O67" i="13"/>
  <c r="U66" i="13"/>
  <c r="S39" i="14"/>
  <c r="R40" i="14"/>
  <c r="Q120" i="13"/>
  <c r="R120" i="13" s="1"/>
  <c r="F120" i="13"/>
  <c r="M119" i="13"/>
  <c r="M110" i="13" s="1"/>
  <c r="AC6" i="13"/>
  <c r="Q29" i="13"/>
  <c r="R29" i="13" s="1"/>
  <c r="U29" i="13" s="1"/>
  <c r="M28" i="13"/>
  <c r="M19" i="13" s="1"/>
  <c r="X44" i="13"/>
  <c r="X32" i="13" s="1"/>
  <c r="W44" i="13"/>
  <c r="AB44" i="13"/>
  <c r="AB32" i="13" s="1"/>
  <c r="AA44" i="13"/>
  <c r="AA32" i="13" s="1"/>
  <c r="Y44" i="13"/>
  <c r="Z44" i="13" s="1"/>
  <c r="U32" i="13"/>
  <c r="Z43" i="13"/>
  <c r="Y32" i="13"/>
  <c r="AB118" i="13"/>
  <c r="X118" i="13"/>
  <c r="W118" i="13"/>
  <c r="AA118" i="13"/>
  <c r="Y118" i="13"/>
  <c r="Z118" i="13" s="1"/>
  <c r="Y79" i="13"/>
  <c r="Z79" i="13" s="1"/>
  <c r="X79" i="13"/>
  <c r="W79" i="13"/>
  <c r="AB79" i="13"/>
  <c r="AA79" i="13"/>
  <c r="Y45" i="13"/>
  <c r="Q30" i="13"/>
  <c r="R30" i="13" s="1"/>
  <c r="F30" i="13"/>
  <c r="AC55" i="13"/>
  <c r="Y27" i="14"/>
  <c r="V27" i="14"/>
  <c r="Z27" i="14"/>
  <c r="W27" i="14"/>
  <c r="X27" i="14" s="1"/>
  <c r="U27" i="14"/>
  <c r="AA27" i="14" s="1"/>
  <c r="F15" i="6"/>
  <c r="G15" i="6" s="1"/>
  <c r="R29" i="14"/>
  <c r="S28" i="14"/>
  <c r="AA37" i="14"/>
  <c r="Z91" i="13"/>
  <c r="AC91" i="13" s="1"/>
  <c r="X92" i="13"/>
  <c r="AB92" i="13"/>
  <c r="AA92" i="13"/>
  <c r="Y92" i="13"/>
  <c r="Z92" i="13" s="1"/>
  <c r="W92" i="13"/>
  <c r="AA12" i="14"/>
  <c r="AC43" i="13"/>
  <c r="Y27" i="5"/>
  <c r="U8" i="5"/>
  <c r="AB65" i="13"/>
  <c r="AA65" i="13"/>
  <c r="Y65" i="13"/>
  <c r="Z65" i="13" s="1"/>
  <c r="X65" i="13"/>
  <c r="W65" i="13"/>
  <c r="AC64" i="13"/>
  <c r="AA26" i="14"/>
  <c r="AB29" i="13" l="1"/>
  <c r="AA29" i="13"/>
  <c r="Y29" i="13"/>
  <c r="Z29" i="13" s="1"/>
  <c r="X29" i="13"/>
  <c r="W29" i="13"/>
  <c r="AC29" i="13" s="1"/>
  <c r="O68" i="13"/>
  <c r="U67" i="13"/>
  <c r="Y14" i="14"/>
  <c r="W14" i="14"/>
  <c r="U14" i="14"/>
  <c r="Z14" i="14"/>
  <c r="V14" i="14"/>
  <c r="Q108" i="13"/>
  <c r="R108" i="13" s="1"/>
  <c r="F108" i="13"/>
  <c r="U107" i="13"/>
  <c r="M15" i="14"/>
  <c r="M6" i="14" s="1"/>
  <c r="M5" i="14" s="1"/>
  <c r="S15" i="14"/>
  <c r="F16" i="14"/>
  <c r="AB66" i="13"/>
  <c r="AA66" i="13"/>
  <c r="Y66" i="13"/>
  <c r="Z66" i="13" s="1"/>
  <c r="X66" i="13"/>
  <c r="W66" i="13"/>
  <c r="U7" i="5"/>
  <c r="Y8" i="5"/>
  <c r="Z32" i="13"/>
  <c r="AC27" i="13"/>
  <c r="AC79" i="13"/>
  <c r="AA106" i="13"/>
  <c r="W106" i="13"/>
  <c r="AB106" i="13"/>
  <c r="X106" i="13"/>
  <c r="Y106" i="13"/>
  <c r="R30" i="14"/>
  <c r="S29" i="14"/>
  <c r="Q121" i="13"/>
  <c r="R121" i="13" s="1"/>
  <c r="F121" i="13"/>
  <c r="U120" i="13"/>
  <c r="U94" i="13"/>
  <c r="Q95" i="13"/>
  <c r="R95" i="13" s="1"/>
  <c r="F95" i="13"/>
  <c r="Y28" i="14"/>
  <c r="W28" i="14"/>
  <c r="X28" i="14" s="1"/>
  <c r="U28" i="14"/>
  <c r="Z28" i="14"/>
  <c r="V28" i="14"/>
  <c r="U119" i="13"/>
  <c r="AC44" i="13"/>
  <c r="AC32" i="13" s="1"/>
  <c r="W93" i="13"/>
  <c r="AB93" i="13"/>
  <c r="Y93" i="13"/>
  <c r="X93" i="13"/>
  <c r="AA93" i="13"/>
  <c r="R41" i="11"/>
  <c r="S9" i="11"/>
  <c r="S41" i="11" s="1"/>
  <c r="AC92" i="13"/>
  <c r="S40" i="14"/>
  <c r="R41" i="14"/>
  <c r="X80" i="13"/>
  <c r="W80" i="13"/>
  <c r="AB80" i="13"/>
  <c r="AA80" i="13"/>
  <c r="Y80" i="13"/>
  <c r="Z80" i="13" s="1"/>
  <c r="AC65" i="13"/>
  <c r="AC118" i="13"/>
  <c r="U28" i="13"/>
  <c r="Z39" i="14"/>
  <c r="Y39" i="14"/>
  <c r="W39" i="14"/>
  <c r="X39" i="14" s="1"/>
  <c r="U39" i="14"/>
  <c r="V39" i="14"/>
  <c r="U81" i="13"/>
  <c r="Q82" i="13"/>
  <c r="R82" i="13" s="1"/>
  <c r="F82" i="13"/>
  <c r="AA13" i="14"/>
  <c r="W32" i="13"/>
  <c r="Q31" i="13"/>
  <c r="R31" i="13" s="1"/>
  <c r="R19" i="13" s="1"/>
  <c r="F31" i="13"/>
  <c r="U30" i="13"/>
  <c r="M5" i="13"/>
  <c r="AA38" i="14"/>
  <c r="X14" i="14" l="1"/>
  <c r="Z93" i="13"/>
  <c r="S16" i="14"/>
  <c r="F17" i="14"/>
  <c r="AA67" i="13"/>
  <c r="Y67" i="13"/>
  <c r="Z67" i="13" s="1"/>
  <c r="X67" i="13"/>
  <c r="W67" i="13"/>
  <c r="AB67" i="13"/>
  <c r="AA14" i="14"/>
  <c r="Q96" i="13"/>
  <c r="R96" i="13" s="1"/>
  <c r="R84" i="13" s="1"/>
  <c r="F96" i="13"/>
  <c r="U95" i="13"/>
  <c r="Z15" i="14"/>
  <c r="V15" i="14"/>
  <c r="W15" i="14"/>
  <c r="X15" i="14" s="1"/>
  <c r="U15" i="14"/>
  <c r="Y15" i="14"/>
  <c r="S41" i="14"/>
  <c r="R42" i="14"/>
  <c r="Q122" i="13"/>
  <c r="R122" i="13" s="1"/>
  <c r="R110" i="13" s="1"/>
  <c r="U121" i="13"/>
  <c r="F122" i="13"/>
  <c r="AA107" i="13"/>
  <c r="W107" i="13"/>
  <c r="AB107" i="13"/>
  <c r="Y107" i="13"/>
  <c r="Z107" i="13" s="1"/>
  <c r="X107" i="13"/>
  <c r="AC80" i="13"/>
  <c r="Q109" i="13"/>
  <c r="R109" i="13" s="1"/>
  <c r="R97" i="13" s="1"/>
  <c r="F109" i="13"/>
  <c r="U108" i="13"/>
  <c r="AA39" i="14"/>
  <c r="O69" i="13"/>
  <c r="U68" i="13"/>
  <c r="AA119" i="13"/>
  <c r="Y119" i="13"/>
  <c r="Z119" i="13" s="1"/>
  <c r="W119" i="13"/>
  <c r="AB119" i="13"/>
  <c r="X119" i="13"/>
  <c r="V29" i="14"/>
  <c r="Z29" i="14"/>
  <c r="W29" i="14"/>
  <c r="X29" i="14" s="1"/>
  <c r="Y29" i="14"/>
  <c r="U29" i="14"/>
  <c r="U6" i="5"/>
  <c r="Y6" i="5" s="1"/>
  <c r="Y7" i="5"/>
  <c r="U82" i="13"/>
  <c r="Q83" i="13"/>
  <c r="R83" i="13" s="1"/>
  <c r="R71" i="13" s="1"/>
  <c r="R5" i="13" s="1"/>
  <c r="F83" i="13"/>
  <c r="AC106" i="13"/>
  <c r="U31" i="13"/>
  <c r="F19" i="13"/>
  <c r="R31" i="14"/>
  <c r="S30" i="14"/>
  <c r="X81" i="13"/>
  <c r="W81" i="13"/>
  <c r="Y81" i="13"/>
  <c r="Z81" i="13" s="1"/>
  <c r="AB81" i="13"/>
  <c r="AA81" i="13"/>
  <c r="W94" i="13"/>
  <c r="AA94" i="13"/>
  <c r="X94" i="13"/>
  <c r="AB94" i="13"/>
  <c r="Y94" i="13"/>
  <c r="Z94" i="13" s="1"/>
  <c r="AA120" i="13"/>
  <c r="Y120" i="13"/>
  <c r="Z120" i="13" s="1"/>
  <c r="W120" i="13"/>
  <c r="AB120" i="13"/>
  <c r="X120" i="13"/>
  <c r="AB28" i="13"/>
  <c r="AA28" i="13"/>
  <c r="Y28" i="13"/>
  <c r="X28" i="13"/>
  <c r="W28" i="13"/>
  <c r="U19" i="13"/>
  <c r="AC66" i="13"/>
  <c r="AC93" i="13"/>
  <c r="AB30" i="13"/>
  <c r="AA30" i="13"/>
  <c r="Y30" i="13"/>
  <c r="Z30" i="13" s="1"/>
  <c r="X30" i="13"/>
  <c r="W30" i="13"/>
  <c r="AC30" i="13" s="1"/>
  <c r="Z40" i="14"/>
  <c r="V40" i="14"/>
  <c r="U40" i="14"/>
  <c r="Y40" i="14"/>
  <c r="W40" i="14"/>
  <c r="X40" i="14" s="1"/>
  <c r="AA28" i="14"/>
  <c r="Z106" i="13"/>
  <c r="S42" i="14" l="1"/>
  <c r="R43" i="14"/>
  <c r="AC67" i="13"/>
  <c r="O70" i="13"/>
  <c r="U69" i="13"/>
  <c r="AA108" i="13"/>
  <c r="W108" i="13"/>
  <c r="AB108" i="13"/>
  <c r="Y108" i="13"/>
  <c r="Z108" i="13" s="1"/>
  <c r="X108" i="13"/>
  <c r="U109" i="13"/>
  <c r="F97" i="13"/>
  <c r="W41" i="14"/>
  <c r="X41" i="14" s="1"/>
  <c r="U41" i="14"/>
  <c r="Y41" i="14"/>
  <c r="Z41" i="14"/>
  <c r="V41" i="14"/>
  <c r="AA15" i="14"/>
  <c r="AA40" i="14"/>
  <c r="Y30" i="14"/>
  <c r="V30" i="14"/>
  <c r="U30" i="14"/>
  <c r="Z30" i="14"/>
  <c r="W30" i="14"/>
  <c r="X30" i="14" s="1"/>
  <c r="AC94" i="13"/>
  <c r="F18" i="14"/>
  <c r="S17" i="14"/>
  <c r="AC119" i="13"/>
  <c r="Z16" i="14"/>
  <c r="V16" i="14"/>
  <c r="U16" i="14"/>
  <c r="AA16" i="14" s="1"/>
  <c r="Y16" i="14"/>
  <c r="W16" i="14"/>
  <c r="X16" i="14" s="1"/>
  <c r="X82" i="13"/>
  <c r="W82" i="13"/>
  <c r="AB82" i="13"/>
  <c r="AA82" i="13"/>
  <c r="Y82" i="13"/>
  <c r="Z82" i="13" s="1"/>
  <c r="AA121" i="13"/>
  <c r="Y121" i="13"/>
  <c r="Z121" i="13" s="1"/>
  <c r="W121" i="13"/>
  <c r="AB121" i="13"/>
  <c r="X121" i="13"/>
  <c r="S31" i="14"/>
  <c r="R19" i="14"/>
  <c r="AB31" i="13"/>
  <c r="AB19" i="13" s="1"/>
  <c r="AA31" i="13"/>
  <c r="AA19" i="13" s="1"/>
  <c r="X31" i="13"/>
  <c r="X19" i="13" s="1"/>
  <c r="W31" i="13"/>
  <c r="Y31" i="13"/>
  <c r="Z31" i="13" s="1"/>
  <c r="Z19" i="13" s="1"/>
  <c r="AC81" i="13"/>
  <c r="AC107" i="13"/>
  <c r="W95" i="13"/>
  <c r="AA95" i="13"/>
  <c r="AB95" i="13"/>
  <c r="Y95" i="13"/>
  <c r="Z95" i="13" s="1"/>
  <c r="X95" i="13"/>
  <c r="Z28" i="13"/>
  <c r="AC28" i="13" s="1"/>
  <c r="AC120" i="13"/>
  <c r="U96" i="13"/>
  <c r="F84" i="13"/>
  <c r="U83" i="13"/>
  <c r="F71" i="13"/>
  <c r="F5" i="13" s="1"/>
  <c r="AA29" i="14"/>
  <c r="AA68" i="13"/>
  <c r="AB68" i="13"/>
  <c r="Y68" i="13"/>
  <c r="Z68" i="13" s="1"/>
  <c r="X68" i="13"/>
  <c r="W68" i="13"/>
  <c r="AC68" i="13" s="1"/>
  <c r="U122" i="13"/>
  <c r="F110" i="13"/>
  <c r="AC31" i="13" l="1"/>
  <c r="AC19" i="13" s="1"/>
  <c r="W19" i="13"/>
  <c r="V17" i="14"/>
  <c r="Z17" i="14"/>
  <c r="W17" i="14"/>
  <c r="X17" i="14" s="1"/>
  <c r="Y17" i="14"/>
  <c r="U17" i="14"/>
  <c r="AA17" i="14" s="1"/>
  <c r="AA69" i="13"/>
  <c r="AB69" i="13"/>
  <c r="Y69" i="13"/>
  <c r="Z69" i="13" s="1"/>
  <c r="X69" i="13"/>
  <c r="W69" i="13"/>
  <c r="AC108" i="13"/>
  <c r="AC121" i="13"/>
  <c r="AA122" i="13"/>
  <c r="AA110" i="13" s="1"/>
  <c r="Y122" i="13"/>
  <c r="W122" i="13"/>
  <c r="AB122" i="13"/>
  <c r="AB110" i="13" s="1"/>
  <c r="X122" i="13"/>
  <c r="X110" i="13" s="1"/>
  <c r="U70" i="13"/>
  <c r="O58" i="13"/>
  <c r="O5" i="13" s="1"/>
  <c r="AC82" i="13"/>
  <c r="AC95" i="13"/>
  <c r="W96" i="13"/>
  <c r="AA96" i="13"/>
  <c r="AA84" i="13" s="1"/>
  <c r="AB96" i="13"/>
  <c r="AB84" i="13" s="1"/>
  <c r="Y96" i="13"/>
  <c r="X96" i="13"/>
  <c r="X84" i="13" s="1"/>
  <c r="U84" i="13"/>
  <c r="AA41" i="14"/>
  <c r="AA109" i="13"/>
  <c r="AA97" i="13" s="1"/>
  <c r="W109" i="13"/>
  <c r="AB109" i="13"/>
  <c r="AB97" i="13" s="1"/>
  <c r="Y109" i="13"/>
  <c r="X109" i="13"/>
  <c r="X97" i="13" s="1"/>
  <c r="U97" i="13"/>
  <c r="R44" i="14"/>
  <c r="S43" i="14"/>
  <c r="S18" i="14"/>
  <c r="F6" i="14"/>
  <c r="AA30" i="14"/>
  <c r="Z42" i="14"/>
  <c r="W42" i="14"/>
  <c r="X42" i="14" s="1"/>
  <c r="V42" i="14"/>
  <c r="Y42" i="14"/>
  <c r="U42" i="14"/>
  <c r="X83" i="13"/>
  <c r="X71" i="13" s="1"/>
  <c r="W83" i="13"/>
  <c r="AB83" i="13"/>
  <c r="AB71" i="13" s="1"/>
  <c r="AA83" i="13"/>
  <c r="AA71" i="13" s="1"/>
  <c r="Y83" i="13"/>
  <c r="U71" i="13"/>
  <c r="Y19" i="13"/>
  <c r="Y31" i="14"/>
  <c r="V31" i="14"/>
  <c r="V19" i="14" s="1"/>
  <c r="Z31" i="14"/>
  <c r="Z19" i="14" s="1"/>
  <c r="W31" i="14"/>
  <c r="X31" i="14" s="1"/>
  <c r="U31" i="14"/>
  <c r="S19" i="14"/>
  <c r="U110" i="13"/>
  <c r="W97" i="13" l="1"/>
  <c r="AA70" i="13"/>
  <c r="AA58" i="13" s="1"/>
  <c r="AA5" i="13" s="1"/>
  <c r="Q20" i="6" s="1"/>
  <c r="F20" i="6" s="1"/>
  <c r="AB70" i="13"/>
  <c r="AB58" i="13" s="1"/>
  <c r="AB5" i="13" s="1"/>
  <c r="Q21" i="6" s="1"/>
  <c r="F21" i="6" s="1"/>
  <c r="Y70" i="13"/>
  <c r="X70" i="13"/>
  <c r="X58" i="13" s="1"/>
  <c r="X5" i="13" s="1"/>
  <c r="Q19" i="6" s="1"/>
  <c r="F19" i="6" s="1"/>
  <c r="W70" i="13"/>
  <c r="U58" i="13"/>
  <c r="U5" i="13" s="1"/>
  <c r="Z83" i="13"/>
  <c r="Z71" i="13" s="1"/>
  <c r="Y71" i="13"/>
  <c r="Z18" i="14"/>
  <c r="Z6" i="14" s="1"/>
  <c r="Y18" i="14"/>
  <c r="Y6" i="14" s="1"/>
  <c r="W18" i="14"/>
  <c r="V18" i="14"/>
  <c r="V6" i="14" s="1"/>
  <c r="U18" i="14"/>
  <c r="S6" i="14"/>
  <c r="W19" i="14"/>
  <c r="X19" i="14" s="1"/>
  <c r="Y19" i="14"/>
  <c r="Z43" i="14"/>
  <c r="Y43" i="14"/>
  <c r="W43" i="14"/>
  <c r="X43" i="14" s="1"/>
  <c r="U43" i="14"/>
  <c r="V43" i="14"/>
  <c r="Z96" i="13"/>
  <c r="Z84" i="13" s="1"/>
  <c r="Y84" i="13"/>
  <c r="Z122" i="13"/>
  <c r="Z110" i="13" s="1"/>
  <c r="Y110" i="13"/>
  <c r="S44" i="14"/>
  <c r="R32" i="14"/>
  <c r="R5" i="14" s="1"/>
  <c r="AC96" i="13"/>
  <c r="AC84" i="13" s="1"/>
  <c r="W84" i="13"/>
  <c r="AC122" i="13"/>
  <c r="AC110" i="13" s="1"/>
  <c r="W110" i="13"/>
  <c r="W71" i="13"/>
  <c r="AA31" i="14"/>
  <c r="AA19" i="14" s="1"/>
  <c r="U19" i="14"/>
  <c r="AA42" i="14"/>
  <c r="Z109" i="13"/>
  <c r="Z97" i="13" s="1"/>
  <c r="Y97" i="13"/>
  <c r="AC69" i="13"/>
  <c r="W58" i="13" l="1"/>
  <c r="W5" i="13" s="1"/>
  <c r="G19" i="6"/>
  <c r="V18" i="6"/>
  <c r="G21" i="6"/>
  <c r="V20" i="6"/>
  <c r="Z5" i="14"/>
  <c r="Z70" i="13"/>
  <c r="Z58" i="13" s="1"/>
  <c r="Z5" i="13" s="1"/>
  <c r="Q18" i="6" s="1"/>
  <c r="F18" i="6" s="1"/>
  <c r="G18" i="6" s="1"/>
  <c r="Y58" i="13"/>
  <c r="Y5" i="13" s="1"/>
  <c r="Q17" i="6" s="1"/>
  <c r="G20" i="6"/>
  <c r="V19" i="6"/>
  <c r="AA43" i="14"/>
  <c r="Z44" i="14"/>
  <c r="Z32" i="14" s="1"/>
  <c r="V44" i="14"/>
  <c r="V32" i="14" s="1"/>
  <c r="V5" i="14" s="1"/>
  <c r="U44" i="14"/>
  <c r="Y44" i="14"/>
  <c r="W44" i="14"/>
  <c r="X44" i="14" s="1"/>
  <c r="S32" i="14"/>
  <c r="AA18" i="14"/>
  <c r="AA6" i="14" s="1"/>
  <c r="U6" i="14"/>
  <c r="AC83" i="13"/>
  <c r="AC71" i="13" s="1"/>
  <c r="X18" i="14"/>
  <c r="X6" i="14" s="1"/>
  <c r="W6" i="14"/>
  <c r="AC109" i="13"/>
  <c r="AC97" i="13" s="1"/>
  <c r="F17" i="6" l="1"/>
  <c r="K18" i="6"/>
  <c r="Q16" i="6"/>
  <c r="Q8" i="6" s="1"/>
  <c r="Q7" i="6" s="1"/>
  <c r="Q6" i="6" s="1"/>
  <c r="AA44" i="14"/>
  <c r="AA32" i="14" s="1"/>
  <c r="U32" i="14"/>
  <c r="AC70" i="13"/>
  <c r="AC58" i="13" s="1"/>
  <c r="AC5" i="13" s="1"/>
  <c r="U5" i="14"/>
  <c r="AA5" i="14"/>
  <c r="Y32" i="14"/>
  <c r="Y5" i="14" s="1"/>
  <c r="W32" i="14"/>
  <c r="X32" i="14" s="1"/>
  <c r="X5" i="14" s="1"/>
  <c r="S5" i="14"/>
  <c r="W5" i="14" l="1"/>
  <c r="G17" i="6"/>
  <c r="X16" i="6"/>
  <c r="F16" i="6"/>
  <c r="G16" i="6" l="1"/>
  <c r="F8" i="6"/>
  <c r="F7" i="6" l="1"/>
  <c r="G8" i="6"/>
  <c r="G7" i="6" l="1"/>
  <c r="F6" i="6"/>
  <c r="G6" i="6" l="1"/>
  <c r="AB5" i="6"/>
</calcChain>
</file>

<file path=xl/comments1.xml><?xml version="1.0" encoding="utf-8"?>
<comments xmlns="http://schemas.openxmlformats.org/spreadsheetml/2006/main">
  <authors>
    <author>L.S.Y</author>
  </authors>
  <commentList>
    <comment ref="T45" authorId="0" shapeId="0">
      <text>
        <r>
          <rPr>
            <b/>
            <sz val="9"/>
            <color rgb="FF000000"/>
            <rFont val="Tahoma"/>
            <family val="2"/>
          </rPr>
          <t>L.S.Y:</t>
        </r>
        <r>
          <rPr>
            <sz val="9"/>
            <color rgb="FF000000"/>
            <rFont val="Tahoma"/>
            <family val="2"/>
          </rPr>
          <t xml:space="preserve">
</t>
        </r>
        <r>
          <rPr>
            <sz val="9"/>
            <color rgb="FF000000"/>
            <rFont val="돋움"/>
            <family val="3"/>
            <charset val="129"/>
          </rPr>
          <t>주부식비</t>
        </r>
        <r>
          <rPr>
            <sz val="9"/>
            <color rgb="FF000000"/>
            <rFont val="Tahoma"/>
            <family val="2"/>
          </rPr>
          <t xml:space="preserve"> </t>
        </r>
        <r>
          <rPr>
            <sz val="9"/>
            <color rgb="FF000000"/>
            <rFont val="돋움"/>
            <family val="3"/>
            <charset val="129"/>
          </rPr>
          <t>합산금액</t>
        </r>
        <r>
          <rPr>
            <sz val="9"/>
            <color rgb="FF000000"/>
            <rFont val="Tahoma"/>
            <family val="2"/>
          </rPr>
          <t xml:space="preserve"> </t>
        </r>
        <r>
          <rPr>
            <sz val="9"/>
            <color rgb="FF000000"/>
            <rFont val="돋움"/>
            <family val="3"/>
            <charset val="129"/>
          </rPr>
          <t>특별위로금</t>
        </r>
        <r>
          <rPr>
            <sz val="9"/>
            <color rgb="FF000000"/>
            <rFont val="Tahoma"/>
            <family val="2"/>
          </rPr>
          <t xml:space="preserve"> </t>
        </r>
        <r>
          <rPr>
            <sz val="9"/>
            <color rgb="FF000000"/>
            <rFont val="돋움"/>
            <family val="3"/>
            <charset val="129"/>
          </rPr>
          <t>포함</t>
        </r>
      </text>
    </comment>
  </commentList>
</comments>
</file>

<file path=xl/comments2.xml><?xml version="1.0" encoding="utf-8"?>
<comments xmlns="http://schemas.openxmlformats.org/spreadsheetml/2006/main">
  <authors>
    <author>USER</author>
  </authors>
  <commentList>
    <comment ref="C17" authorId="0" shapeId="0">
      <text>
        <r>
          <rPr>
            <b/>
            <sz val="11"/>
            <color rgb="FF000000"/>
            <rFont val="Tahoma"/>
            <family val="2"/>
          </rPr>
          <t xml:space="preserve">22.2.28 </t>
        </r>
        <r>
          <rPr>
            <b/>
            <sz val="11"/>
            <color rgb="FF000000"/>
            <rFont val="돋움"/>
            <family val="3"/>
            <charset val="129"/>
          </rPr>
          <t>홍경화</t>
        </r>
        <r>
          <rPr>
            <b/>
            <sz val="11"/>
            <color rgb="FF000000"/>
            <rFont val="Tahoma"/>
            <family val="2"/>
          </rPr>
          <t xml:space="preserve"> </t>
        </r>
        <r>
          <rPr>
            <b/>
            <sz val="11"/>
            <color rgb="FF000000"/>
            <rFont val="돋움"/>
            <family val="3"/>
            <charset val="129"/>
          </rPr>
          <t xml:space="preserve">퇴사
</t>
        </r>
        <r>
          <rPr>
            <b/>
            <sz val="11"/>
            <color rgb="FF000000"/>
            <rFont val="Tahoma"/>
            <family val="2"/>
          </rPr>
          <t xml:space="preserve">22.3.1   </t>
        </r>
        <r>
          <rPr>
            <b/>
            <sz val="11"/>
            <color rgb="FF000000"/>
            <rFont val="돋움"/>
            <family val="3"/>
            <charset val="129"/>
          </rPr>
          <t>김병곤</t>
        </r>
        <r>
          <rPr>
            <b/>
            <sz val="11"/>
            <color rgb="FF000000"/>
            <rFont val="Tahoma"/>
            <family val="2"/>
          </rPr>
          <t xml:space="preserve"> </t>
        </r>
        <r>
          <rPr>
            <b/>
            <sz val="11"/>
            <color rgb="FF000000"/>
            <rFont val="돋움"/>
            <family val="3"/>
            <charset val="129"/>
          </rPr>
          <t>입사</t>
        </r>
      </text>
    </comment>
  </commentList>
</comments>
</file>

<file path=xl/sharedStrings.xml><?xml version="1.0" encoding="utf-8"?>
<sst xmlns="http://schemas.openxmlformats.org/spreadsheetml/2006/main" count="2173" uniqueCount="543">
  <si>
    <t>*보조금 : 1,000,000원
 - 운영비: 보조금이월금 (5,746,100원)+예금이자이월금 (14,420원)= 5,760,520원
 - 4종 운영비: 보조금이월금 80,000원+예금이자이월금(10원)=80,010원</t>
  </si>
  <si>
    <t>「사회복지법인 및 사회복지시설 재무회계규칙」 제16조에 의거하여 예산을 전용할 수 있다.</t>
  </si>
  <si>
    <t>추가경정예산의 성립 이전이라도  보조 및 후원 목적에 적절한 경우  먼저 사용할 수 있으며,</t>
  </si>
  <si>
    <t>기타 회계 관련 규정의 개정으로 예산과목이 변경된 경우에는 당해연도 변경된 과목으로 승인</t>
  </si>
  <si>
    <t>(만약, 지정후원금 또는 별도 사업비 편성이 용이하다는 지차체의 증빙자료(공문)가 있을시에만</t>
  </si>
  <si>
    <t>법인이사회의 예산승인을 받기 전에 일반경비 및 긴급을 요하는 예산집행은 직전예산에 준하여</t>
  </si>
  <si>
    <t xml:space="preserve">본 예산(안)은 사회복지법인 천주교 수원교구 사회복지회 소속 시설 "별빛누리그룹홈 라온"의 </t>
  </si>
  <si>
    <t>국가, 지방자치단체 및 사회복지기금 등에서 공모사업 선정으로 받은 보조금은 사회복지법인</t>
  </si>
  <si>
    <t>각 계정과목 내의 항목의 예산집행은 당해 계정과목의 승인예산의 범위 내에서 항목간 예산을</t>
  </si>
  <si>
    <t>*라온:  인건비 87,983,000원+운영비 7,800,000원+4종1,642,000원+6종 3,000,000=100,425,000원</t>
  </si>
  <si>
    <t>국가 또는 지방자치단체로부터 교부된 보조금 및 지정후원금, 수익자부담 경비 등은</t>
  </si>
  <si>
    <t>*라온 입소비용 수입
 - 4명 X400,000원X12개월= 19,200,000원</t>
  </si>
  <si>
    <t>지출할 수 있으며,  그 집행된 예산은 당해 연도의 확정예산에 의하여 집행된 것으로 간주한다.</t>
  </si>
  <si>
    <t xml:space="preserve"> 세입ㆍ세출 예산서(안)</t>
  </si>
  <si>
    <t>22년 02월 28일 퇴사</t>
  </si>
  <si>
    <t>증감금액
(C=B-A)</t>
  </si>
  <si>
    <t>고용보험     부담금</t>
  </si>
  <si>
    <t xml:space="preserve"> 산   출   내   역</t>
  </si>
  <si>
    <t>처우개선비
포함연장수당</t>
  </si>
  <si>
    <t>4종 입소자 건강검진비</t>
  </si>
  <si>
    <t>업무        추진비</t>
  </si>
  <si>
    <t>건강보험
(장기요양보험)</t>
  </si>
  <si>
    <t>22년 03월 01일 입사</t>
  </si>
  <si>
    <t>21년 11월 01일 입사</t>
  </si>
  <si>
    <t>4종 입소자 특별급식비</t>
  </si>
  <si>
    <t>별빛누리그룹홈 
시설장 겸임</t>
  </si>
  <si>
    <t>장비 및 건물보수 유지비</t>
  </si>
  <si>
    <t>합             계</t>
  </si>
  <si>
    <t>하이패스충전비 및 수리비</t>
  </si>
  <si>
    <t>2024년 
1차 추경(B)</t>
  </si>
  <si>
    <t xml:space="preserve">  바.  증감사유 (라온)</t>
  </si>
  <si>
    <t>2024년
본 예산(A)</t>
  </si>
  <si>
    <t>다.  세입내역서 (라온)</t>
  </si>
  <si>
    <t xml:space="preserve"> 세입세출 예산 총액은</t>
  </si>
  <si>
    <t>가. 예  산   총  칙</t>
  </si>
  <si>
    <t>*불용품매각대 60,000원</t>
  </si>
  <si>
    <t>차량 주유비 및 정비료</t>
  </si>
  <si>
    <t>21년 02월 04일 입사</t>
  </si>
  <si>
    <t>* 2024년보조금 확정액</t>
  </si>
  <si>
    <t>라.  세출내역서 (라온)</t>
  </si>
  <si>
    <t>처우개선비
(50,000원)</t>
  </si>
  <si>
    <t>산재보험     부담금</t>
  </si>
  <si>
    <t>공동모금회   사업비반환</t>
  </si>
  <si>
    <t>건강보험     부담금</t>
  </si>
  <si>
    <t>퇴직금 및 
퇴직적립금</t>
  </si>
  <si>
    <t>자부담
정년 외 계약직</t>
  </si>
  <si>
    <t>의료보험
(장기요양보험)</t>
  </si>
  <si>
    <t>21년 08월 09일 입사</t>
  </si>
  <si>
    <t>특수근무
수  당
(도비)</t>
  </si>
  <si>
    <t>*자부담 : 입소비용수입이월금 (7,762,780원), 예금이자이월금 (505원), 잡수입이월금 1원</t>
  </si>
  <si>
    <t>*예금이자: 보조금 (21,340원), 자부담 (5,844원)</t>
  </si>
  <si>
    <t>* 2023년도 보조금 집행잔액 및 예금이자
  이월금 확정액</t>
  </si>
  <si>
    <t>된 것으로 하며,  그 외의  예산총칙에 명시되지 아니한 사항은 「사회복지법인</t>
  </si>
  <si>
    <t>김윤미</t>
  </si>
  <si>
    <t>10월</t>
  </si>
  <si>
    <t>11월</t>
  </si>
  <si>
    <t>1.5</t>
  </si>
  <si>
    <t>건조기</t>
  </si>
  <si>
    <t>-</t>
  </si>
  <si>
    <t>A</t>
  </si>
  <si>
    <t>박성화</t>
  </si>
  <si>
    <t>5월</t>
  </si>
  <si>
    <t>G</t>
  </si>
  <si>
    <t>이애경</t>
  </si>
  <si>
    <t>운전원</t>
  </si>
  <si>
    <t>C</t>
  </si>
  <si>
    <t>6</t>
  </si>
  <si>
    <t>9월</t>
  </si>
  <si>
    <t>신영철</t>
  </si>
  <si>
    <t>호
봉</t>
  </si>
  <si>
    <t>변호영</t>
  </si>
  <si>
    <t>11</t>
  </si>
  <si>
    <t>1</t>
  </si>
  <si>
    <t>홍경화</t>
  </si>
  <si>
    <t>김병곤</t>
  </si>
  <si>
    <t>계약직</t>
  </si>
  <si>
    <t>10</t>
  </si>
  <si>
    <t>5</t>
  </si>
  <si>
    <t>안가람</t>
  </si>
  <si>
    <t>3</t>
  </si>
  <si>
    <t>9</t>
  </si>
  <si>
    <t>보조금</t>
  </si>
  <si>
    <t>3월</t>
  </si>
  <si>
    <t>◆급여</t>
  </si>
  <si>
    <t>8월</t>
  </si>
  <si>
    <t>정효정</t>
  </si>
  <si>
    <t>급량비</t>
  </si>
  <si>
    <t>간식비</t>
  </si>
  <si>
    <t>승급월</t>
  </si>
  <si>
    <t>H</t>
  </si>
  <si>
    <t>ooo</t>
  </si>
  <si>
    <t>송년회</t>
  </si>
  <si>
    <t>김태경</t>
  </si>
  <si>
    <t>4</t>
  </si>
  <si>
    <t>1월</t>
  </si>
  <si>
    <t>정영교</t>
  </si>
  <si>
    <t>반환금</t>
  </si>
  <si>
    <t>◆여비</t>
  </si>
  <si>
    <t>방역비</t>
  </si>
  <si>
    <t>오혜은</t>
  </si>
  <si>
    <t>재원</t>
  </si>
  <si>
    <t>22</t>
  </si>
  <si>
    <t>자부담</t>
  </si>
  <si>
    <t>21</t>
  </si>
  <si>
    <t xml:space="preserve">2) </t>
  </si>
  <si>
    <t>순번</t>
  </si>
  <si>
    <t>제1조</t>
  </si>
  <si>
    <t>상여금</t>
  </si>
  <si>
    <t>합 계</t>
  </si>
  <si>
    <t>잡지출</t>
  </si>
  <si>
    <t>항</t>
  </si>
  <si>
    <t>제3조</t>
  </si>
  <si>
    <t>비고</t>
  </si>
  <si>
    <t>급여</t>
  </si>
  <si>
    <t>계</t>
  </si>
  <si>
    <t>금액</t>
  </si>
  <si>
    <t>호봉</t>
  </si>
  <si>
    <t>시설장</t>
  </si>
  <si>
    <t>세목</t>
  </si>
  <si>
    <t>이월금</t>
  </si>
  <si>
    <t>법인</t>
  </si>
  <si>
    <t>원</t>
  </si>
  <si>
    <t>성명</t>
  </si>
  <si>
    <t>×</t>
  </si>
  <si>
    <t>제8조</t>
  </si>
  <si>
    <t>의료비</t>
  </si>
  <si>
    <t>제6조</t>
  </si>
  <si>
    <t>관</t>
  </si>
  <si>
    <t>차량비</t>
  </si>
  <si>
    <t>제4조</t>
  </si>
  <si>
    <t>제수당</t>
  </si>
  <si>
    <t>총합계</t>
  </si>
  <si>
    <t>000</t>
  </si>
  <si>
    <t xml:space="preserve">4) </t>
  </si>
  <si>
    <t>제7조</t>
  </si>
  <si>
    <t>제9조</t>
  </si>
  <si>
    <t>7월</t>
  </si>
  <si>
    <t>합계</t>
  </si>
  <si>
    <t>피복비</t>
  </si>
  <si>
    <t>시설비</t>
  </si>
  <si>
    <t>직책</t>
  </si>
  <si>
    <t>총계</t>
  </si>
  <si>
    <t>기타</t>
  </si>
  <si>
    <t>제2조</t>
  </si>
  <si>
    <t>전입금</t>
  </si>
  <si>
    <t>목</t>
  </si>
  <si>
    <t xml:space="preserve"> </t>
  </si>
  <si>
    <t>여비</t>
  </si>
  <si>
    <t>연료비</t>
  </si>
  <si>
    <t>생계비</t>
  </si>
  <si>
    <t>2월</t>
  </si>
  <si>
    <t>제5조</t>
  </si>
  <si>
    <t>조리원</t>
  </si>
  <si>
    <t>=</t>
  </si>
  <si>
    <t>예비비</t>
  </si>
  <si>
    <t>인건비</t>
  </si>
  <si>
    <t>6월</t>
  </si>
  <si>
    <t>E</t>
  </si>
  <si>
    <t>명
수</t>
  </si>
  <si>
    <t>4월</t>
  </si>
  <si>
    <t>유선주</t>
  </si>
  <si>
    <t>후원금</t>
  </si>
  <si>
    <t>운영비</t>
  </si>
  <si>
    <t>사무비</t>
  </si>
  <si>
    <t>소계</t>
  </si>
  <si>
    <t>D</t>
  </si>
  <si>
    <t>홍보비</t>
  </si>
  <si>
    <t>B</t>
  </si>
  <si>
    <t>기본급</t>
  </si>
  <si>
    <t xml:space="preserve">6) </t>
  </si>
  <si>
    <t>연
번</t>
  </si>
  <si>
    <t>직
종</t>
  </si>
  <si>
    <t>회의비</t>
  </si>
  <si>
    <t xml:space="preserve">8) </t>
  </si>
  <si>
    <t>기관장</t>
  </si>
  <si>
    <t>F</t>
  </si>
  <si>
    <t>잡수입</t>
  </si>
  <si>
    <t>이기수</t>
  </si>
  <si>
    <t>사업비</t>
  </si>
  <si>
    <t>12월</t>
  </si>
  <si>
    <t>3,4</t>
  </si>
  <si>
    <t xml:space="preserve"> 및 사회복지시설 재무회계규칙에 따라 기타보조금에 편성되어야 한다.</t>
  </si>
  <si>
    <t>* 2023년도 자부담 집행잔액 및 예금이자 
   이월금 확정액</t>
  </si>
  <si>
    <t>※ 보건복지가족부 0000년 00000 종사자 보수지급기준표 적용.</t>
  </si>
  <si>
    <t>단, 관·항간 예산을 전용 할 경우 법인 이사회의 의결을 거쳐야 한다.</t>
  </si>
  <si>
    <t>2024년도 (2024.01.01 ~2024.12.31) 예산으로</t>
  </si>
  <si>
    <t>본예산(안)은 법인 이사회의 승인을 얻어 확정한다.</t>
  </si>
  <si>
    <t>21년 01월 01일 입사
22년 02월 28일 퇴사</t>
  </si>
  <si>
    <t>연장근로수당
(보수월액*1/
209*1.5*20or40)</t>
  </si>
  <si>
    <t xml:space="preserve">  ▣  2021년  종사자 인건비(자부담) 총계표</t>
  </si>
  <si>
    <t>가계지원비
(50%씩 연4회
-4,5,10,11월)</t>
  </si>
  <si>
    <t>연장근로수당
(기본급*1/
209*1.5*40/22)</t>
  </si>
  <si>
    <t>2. 세출의 내용은 다음과 같다. (관 또는 항기준)</t>
  </si>
  <si>
    <t xml:space="preserve">                       (단위 : 원)</t>
  </si>
  <si>
    <t>라온 사회재활교사
겸임
2021. 03. 01. 입사</t>
  </si>
  <si>
    <t xml:space="preserve">기관장(300,000원),사무국장(200,000원),
과장(150,000원,2명),팀장(100,000원, 8명) </t>
  </si>
  <si>
    <t>3. 명시이월 사업은</t>
  </si>
  <si>
    <t>이며,  예산은</t>
  </si>
  <si>
    <t xml:space="preserve"> 별도 편성 가능)</t>
  </si>
  <si>
    <t>사회보험부담비용</t>
  </si>
  <si>
    <t>수용비및
수수료</t>
  </si>
  <si>
    <t>지자체 별도 지급액</t>
  </si>
  <si>
    <t>나온
사회재활
교사</t>
  </si>
  <si>
    <t>업무추진비 소계</t>
  </si>
  <si>
    <t>퇴직금및퇴직적립금</t>
  </si>
  <si>
    <t>라. 세   출</t>
  </si>
  <si>
    <t>아온
사회재활
교사</t>
  </si>
  <si>
    <t>유관기관 제 잡비</t>
  </si>
  <si>
    <t>프로그램사업수입</t>
  </si>
  <si>
    <t>기타예금이자수입</t>
  </si>
  <si>
    <t>(단위 : 원)</t>
  </si>
  <si>
    <t>마온
사회재활
교사</t>
  </si>
  <si>
    <t>사업비 운영비 소계</t>
  </si>
  <si>
    <t>퇴직금및 퇴직적립금</t>
  </si>
  <si>
    <t>국민연금    부담금</t>
  </si>
  <si>
    <t>(1) 국도시비</t>
  </si>
  <si>
    <t>다온
사회재활
교사</t>
  </si>
  <si>
    <t>자. 일용잡급 일람표</t>
  </si>
  <si>
    <t>사업비(운영비)</t>
  </si>
  <si>
    <t>◆사회보험부담비용</t>
  </si>
  <si>
    <t>시도보조금(10%)</t>
  </si>
  <si>
    <t>00 / 00 퇴사</t>
  </si>
  <si>
    <t>장기근속
수  당</t>
  </si>
  <si>
    <t>지역 명절 선물비</t>
  </si>
  <si>
    <t>지자체 지급액 계</t>
  </si>
  <si>
    <t>사온
사회재활
교사</t>
  </si>
  <si>
    <t>정근수당
(1,7월)</t>
  </si>
  <si>
    <t>바온
사회재활
교사</t>
  </si>
  <si>
    <t>시간당
연장근로수당</t>
  </si>
  <si>
    <t>노인장기요양보험</t>
  </si>
  <si>
    <t>00 / 00 입사</t>
  </si>
  <si>
    <t>경기도
특수근무수당</t>
  </si>
  <si>
    <t>퇴직적립금
(연금)</t>
  </si>
  <si>
    <t>종합안전배상책임보험</t>
  </si>
  <si>
    <t>산  출  내  역</t>
  </si>
  <si>
    <t>라온사회재활교사겸임</t>
  </si>
  <si>
    <t>사무용가구 구입</t>
  </si>
  <si>
    <t>사무비(운영비)</t>
  </si>
  <si>
    <t>시군구보조금(90%)</t>
  </si>
  <si>
    <t>명절휴가비
연평균액</t>
  </si>
  <si>
    <t>사무용OA기기구입</t>
  </si>
  <si>
    <t>사업비(사업비)</t>
  </si>
  <si>
    <t>사무비(인건비)</t>
  </si>
  <si>
    <t>경기도
처우개선비</t>
  </si>
  <si>
    <t>자동차세및 각종세금</t>
  </si>
  <si>
    <t>◆일상생활서비스</t>
  </si>
  <si>
    <t xml:space="preserve">4. 신설사업은 </t>
  </si>
  <si>
    <t>전년도이월금(자부담)</t>
  </si>
  <si>
    <t>가족과의유대사업비</t>
  </si>
  <si>
    <t>전년도이월금(보조금)</t>
  </si>
  <si>
    <t>◆수용비및수수료</t>
  </si>
  <si>
    <t>4종 입소자 피복비</t>
  </si>
  <si>
    <t>전년도이월금(후원금)</t>
  </si>
  <si>
    <t>4종 입소자 간식비</t>
  </si>
  <si>
    <t>호실 냉장고 구입</t>
  </si>
  <si>
    <t>4종 입소자 부식비</t>
  </si>
  <si>
    <t>복사기,프린터기렌탈료</t>
  </si>
  <si>
    <t>◆4종 운영지원사업</t>
  </si>
  <si>
    <t>4종 운영지원사업비</t>
  </si>
  <si>
    <t>◆지역사회교류사업</t>
  </si>
  <si>
    <t>지역사회교류사업비</t>
  </si>
  <si>
    <t>차량구입(할부)</t>
  </si>
  <si>
    <t>전화,전기,수도</t>
  </si>
  <si>
    <t>홈페이지유지관리비</t>
  </si>
  <si>
    <t>◆보조금 반환금</t>
  </si>
  <si>
    <t>7종 운영지원 사업비</t>
  </si>
  <si>
    <t>정서함양프로그램비</t>
  </si>
  <si>
    <t>◆시설장비유지비</t>
  </si>
  <si>
    <t>정수기,비테렌탈료</t>
  </si>
  <si>
    <t>생일잔치프로그램비</t>
  </si>
  <si>
    <t>요리활동프로그램비</t>
  </si>
  <si>
    <t>이용인간담회의비</t>
  </si>
  <si>
    <t>별빛누리그룹홈  라온</t>
  </si>
  <si>
    <t>미술활동프로그램비</t>
  </si>
  <si>
    <t>입소자피복구입비</t>
  </si>
  <si>
    <t>◆가족과의유대사업</t>
  </si>
  <si>
    <t>7종 운영지원사업비</t>
  </si>
  <si>
    <t>영화감상프로그램비</t>
  </si>
  <si>
    <t>음악활동프로그램비</t>
  </si>
  <si>
    <t>◆6종 환경개선사업</t>
  </si>
  <si>
    <t>6종 환경개선사업비</t>
  </si>
  <si>
    <t>기타(식대),입소</t>
  </si>
  <si>
    <t>라온
생활재활
교사</t>
  </si>
  <si>
    <t>퇴직금및
적립금</t>
  </si>
  <si>
    <t>홈나들이프로그램비</t>
  </si>
  <si>
    <t>6종 운영지원사업비</t>
  </si>
  <si>
    <t>시설장비
유지비</t>
  </si>
  <si>
    <t>사회보험
부담비용</t>
  </si>
  <si>
    <t>사업비 사업비 소계</t>
  </si>
  <si>
    <t>특수근무수당(도)</t>
  </si>
  <si>
    <t>입소,법인,사업</t>
  </si>
  <si>
    <t>난방 취사 연료</t>
  </si>
  <si>
    <t>산재보험
부담금</t>
  </si>
  <si>
    <t>건강보험
부담금</t>
  </si>
  <si>
    <t>고용보험
부담금</t>
  </si>
  <si>
    <t xml:space="preserve">산     출     내     역 </t>
  </si>
  <si>
    <t>*기타잡수입: 자부담 (10,000원)</t>
  </si>
  <si>
    <t xml:space="preserve">마.  세입 ∙ 세출  개요 (라온)  </t>
  </si>
  <si>
    <t xml:space="preserve"> 수도료,전기료,우편료,전화료,운송료 등</t>
  </si>
  <si>
    <t xml:space="preserve">  나.  세입.세출 총괄표 (라온)</t>
  </si>
  <si>
    <t>과                  목</t>
  </si>
  <si>
    <t>총                     계</t>
  </si>
  <si>
    <t>과                     목</t>
  </si>
  <si>
    <t>생활재활교사</t>
  </si>
  <si>
    <t>◆기타운영비</t>
  </si>
  <si>
    <t>◆차량비</t>
  </si>
  <si>
    <t>정년외 계약직</t>
  </si>
  <si>
    <t>-연장근로수당</t>
  </si>
  <si>
    <t>◆시설비</t>
  </si>
  <si>
    <t>구분
(월)</t>
  </si>
  <si>
    <t>과장(2)</t>
  </si>
  <si>
    <t>◆기타후생경비</t>
  </si>
  <si>
    <t>3월지급종료</t>
  </si>
  <si>
    <t>7월주임신설</t>
  </si>
  <si>
    <t>재산
조성비</t>
  </si>
  <si>
    <t>7월신설</t>
  </si>
  <si>
    <t>비    고</t>
  </si>
  <si>
    <t>시  설  장</t>
  </si>
  <si>
    <t>-가족수당</t>
  </si>
  <si>
    <t>처우개선비</t>
  </si>
  <si>
    <t>-명절휴가비</t>
  </si>
  <si>
    <t>◆자산취득비</t>
  </si>
  <si>
    <t>지급액합계</t>
  </si>
  <si>
    <t>보조금반환</t>
  </si>
  <si>
    <t>(1) 자부담</t>
  </si>
  <si>
    <t>사회재활교사</t>
  </si>
  <si>
    <t>차량주유비</t>
  </si>
  <si>
    <t>공제액합계</t>
  </si>
  <si>
    <t>◆생계비</t>
  </si>
  <si>
    <t>시설유지비</t>
  </si>
  <si>
    <t>유관기관경비</t>
  </si>
  <si>
    <t>◆일용잡급</t>
  </si>
  <si>
    <t>주임(3)</t>
  </si>
  <si>
    <t>출장여비</t>
  </si>
  <si>
    <t>다온
보조인력</t>
  </si>
  <si>
    <t>장비유지비</t>
  </si>
  <si>
    <t>주ㆍ부식비</t>
  </si>
  <si>
    <t>◆회의비</t>
  </si>
  <si>
    <t>◆직책보조비</t>
  </si>
  <si>
    <t>◆잡지출</t>
  </si>
  <si>
    <t>팀장(5)</t>
  </si>
  <si>
    <t>◆환경개선사업</t>
  </si>
  <si>
    <t>소  계</t>
  </si>
  <si>
    <t>◆예비비</t>
  </si>
  <si>
    <t>◆제수당</t>
  </si>
  <si>
    <t>직원복리후생비</t>
  </si>
  <si>
    <t>13,14</t>
  </si>
  <si>
    <t>◆제세공과금</t>
  </si>
  <si>
    <t>◆수용기관경비</t>
  </si>
  <si>
    <t>1/12</t>
  </si>
  <si>
    <t>◆연료비</t>
  </si>
  <si>
    <t>장기요양</t>
  </si>
  <si>
    <t>화재보험</t>
  </si>
  <si>
    <t>합     계</t>
  </si>
  <si>
    <t>◆피복비</t>
  </si>
  <si>
    <t>(2) 후원금</t>
  </si>
  <si>
    <t>X 1/209</t>
  </si>
  <si>
    <t>20시간</t>
  </si>
  <si>
    <t>아온
보조인력</t>
  </si>
  <si>
    <t>◆공공요금</t>
  </si>
  <si>
    <t>특별급식비</t>
  </si>
  <si>
    <t>바온
보조인력</t>
  </si>
  <si>
    <t>기타생계비</t>
  </si>
  <si>
    <t>라온
보조인력</t>
  </si>
  <si>
    <t>차량구입</t>
  </si>
  <si>
    <t>◆의료비</t>
  </si>
  <si>
    <t>해당없음</t>
  </si>
  <si>
    <t>부담금계</t>
  </si>
  <si>
    <t>단체상해보험</t>
  </si>
  <si>
    <t>일상용품구입</t>
  </si>
  <si>
    <t>마온
보조인력</t>
  </si>
  <si>
    <t>취사연료비</t>
  </si>
  <si>
    <t>보건위생비</t>
  </si>
  <si>
    <t>◆권익증진사업</t>
  </si>
  <si>
    <t>시군구보조금</t>
  </si>
  <si>
    <t>위생재료구입</t>
  </si>
  <si>
    <t>권익증진사업비</t>
  </si>
  <si>
    <t>승강기배상보험</t>
  </si>
  <si>
    <t>◆기관운영비</t>
  </si>
  <si>
    <t>신원재정보험</t>
  </si>
  <si>
    <t>교육재활사업비</t>
  </si>
  <si>
    <t>명함제작비</t>
  </si>
  <si>
    <t>자동차보험</t>
  </si>
  <si>
    <t>시도보조금</t>
  </si>
  <si>
    <t>방역소독비</t>
  </si>
  <si>
    <t>직원근무복</t>
  </si>
  <si>
    <t>◆퇴직적립금</t>
  </si>
  <si>
    <t>여가활동사업비</t>
  </si>
  <si>
    <t>승강기유지비</t>
  </si>
  <si>
    <t>의약품구입비</t>
  </si>
  <si>
    <t>교육강사비</t>
  </si>
  <si>
    <t>가을여행비</t>
  </si>
  <si>
    <t>합  계</t>
  </si>
  <si>
    <t>원이다.</t>
  </si>
  <si>
    <t>세   입</t>
  </si>
  <si>
    <t>◆여가활동사업</t>
  </si>
  <si>
    <t>◆자립지원사업</t>
  </si>
  <si>
    <t>침대렌탈료</t>
  </si>
  <si>
    <t>여름캠프비</t>
  </si>
  <si>
    <t>난방연료비</t>
  </si>
  <si>
    <t>우편발송료</t>
  </si>
  <si>
    <t>부모간담회의비</t>
  </si>
  <si>
    <t>사무용품등구입</t>
  </si>
  <si>
    <t>김장행사비</t>
  </si>
  <si>
    <t>채용 예정</t>
  </si>
  <si>
    <t>2024년도</t>
  </si>
  <si>
    <t>사회보험부담금</t>
  </si>
  <si>
    <t>◆권익증진교육</t>
  </si>
  <si>
    <t>자립지원사업비</t>
  </si>
  <si>
    <t>권익증진사업</t>
  </si>
  <si>
    <t>운영위원회의비</t>
  </si>
  <si>
    <t>일용잡급</t>
  </si>
  <si>
    <t>나온
보조인력</t>
  </si>
  <si>
    <t>사업수입</t>
  </si>
  <si>
    <t>비지정후원금</t>
  </si>
  <si>
    <t>세   출</t>
  </si>
  <si>
    <t>입소비용수입</t>
  </si>
  <si>
    <t>소방시설관리비</t>
  </si>
  <si>
    <t>소   계</t>
  </si>
  <si>
    <t>수영프로그램비</t>
  </si>
  <si>
    <t>사온
보조인력</t>
  </si>
  <si>
    <t xml:space="preserve">   7) </t>
  </si>
  <si>
    <t>명절휴가비</t>
  </si>
  <si>
    <t>보조금수입</t>
  </si>
  <si>
    <t>00수당</t>
  </si>
  <si>
    <t>과년도수입</t>
  </si>
  <si>
    <t>일상생활서비스</t>
  </si>
  <si>
    <t>가족수당</t>
  </si>
  <si>
    <t>법인전입금</t>
  </si>
  <si>
    <t>제세공과금</t>
  </si>
  <si>
    <t>구  분</t>
  </si>
  <si>
    <t>지정후원금</t>
  </si>
  <si>
    <t>입소자부담금</t>
  </si>
  <si>
    <t>업무추진비</t>
  </si>
  <si>
    <t>증감사유</t>
  </si>
  <si>
    <t>기타잡수입</t>
  </si>
  <si>
    <t>제수당 계</t>
  </si>
  <si>
    <t>원으로,</t>
  </si>
  <si>
    <t>국민연금</t>
  </si>
  <si>
    <t>후원금수입</t>
  </si>
  <si>
    <t>관계개선사업</t>
  </si>
  <si>
    <t xml:space="preserve">   5) </t>
  </si>
  <si>
    <t>시설장비유지비</t>
  </si>
  <si>
    <t>직책보조비</t>
  </si>
  <si>
    <t>불용품매각대</t>
  </si>
  <si>
    <t>공공요금</t>
  </si>
  <si>
    <t>기타후생경비</t>
  </si>
  <si>
    <t>비율(%)</t>
  </si>
  <si>
    <t xml:space="preserve">   1)</t>
  </si>
  <si>
    <t>재산조성비</t>
  </si>
  <si>
    <t>연장근로수당</t>
  </si>
  <si>
    <t xml:space="preserve">   3) </t>
  </si>
  <si>
    <t>고용보험</t>
  </si>
  <si>
    <t>피복구입비</t>
  </si>
  <si>
    <t>프로그램수입</t>
  </si>
  <si>
    <t>잡지출 계</t>
  </si>
  <si>
    <t>고용보험부담금</t>
  </si>
  <si>
    <t xml:space="preserve">   1) </t>
  </si>
  <si>
    <t>수용비및수수료</t>
  </si>
  <si>
    <t>교육사업</t>
  </si>
  <si>
    <t>법인전입-승마</t>
  </si>
  <si>
    <t>기관운영비</t>
  </si>
  <si>
    <t>예비비및기타</t>
  </si>
  <si>
    <t>수용기관경비</t>
  </si>
  <si>
    <t>퇴직적립금</t>
  </si>
  <si>
    <t>장기요양보험</t>
  </si>
  <si>
    <t>사무비 계</t>
  </si>
  <si>
    <t>산재보험</t>
  </si>
  <si>
    <t>산재보험부담금</t>
  </si>
  <si>
    <t>업무
추진비</t>
  </si>
  <si>
    <t>운영비 소계</t>
  </si>
  <si>
    <t>생활지도원수당</t>
  </si>
  <si>
    <t>인건비 소계</t>
  </si>
  <si>
    <t>자산취득비</t>
  </si>
  <si>
    <t>환경개선사업</t>
  </si>
  <si>
    <t>제수당 소계</t>
  </si>
  <si>
    <t>법인전입</t>
  </si>
  <si>
    <t>장기요양보험료</t>
  </si>
  <si>
    <t>예비비 소계</t>
  </si>
  <si>
    <t>증감(B-A)</t>
  </si>
  <si>
    <t>건강보험부담금</t>
  </si>
  <si>
    <t>시설비 소계</t>
  </si>
  <si>
    <t>건물유지비</t>
  </si>
  <si>
    <t>건강보험료</t>
  </si>
  <si>
    <t>국민연금부담금</t>
  </si>
  <si>
    <t>잡지출 소계</t>
  </si>
  <si>
    <t>잡수입-식대</t>
  </si>
  <si>
    <t>보전수당</t>
  </si>
  <si>
    <t>재산조성비 계</t>
  </si>
  <si>
    <t>시설공사비</t>
  </si>
  <si>
    <t>기타보조금</t>
  </si>
  <si>
    <t>건강보험</t>
  </si>
  <si>
    <t>예비비 계</t>
  </si>
  <si>
    <t>기타운영비</t>
  </si>
  <si>
    <t>환경개선사업비</t>
  </si>
  <si>
    <t>사업비 계</t>
  </si>
  <si>
    <t>입소,법인</t>
  </si>
  <si>
    <t>유료입소</t>
  </si>
  <si>
    <t>생활복지사수당</t>
  </si>
  <si>
    <t>자가운전보조금</t>
  </si>
  <si>
    <t>이월금 포함</t>
  </si>
  <si>
    <t>(단위:원)</t>
  </si>
  <si>
    <t>조리.위생수당</t>
  </si>
  <si>
    <t>사무국장</t>
  </si>
  <si>
    <t>의료보험</t>
  </si>
  <si>
    <t>가계보조수당</t>
  </si>
  <si>
    <t>직책수당</t>
  </si>
  <si>
    <t>여가활동</t>
  </si>
  <si>
    <t>교통급식비</t>
  </si>
  <si>
    <t>기타,법인</t>
  </si>
  <si>
    <t>세                입</t>
  </si>
  <si>
    <t>명절휴가비
(60%씩
연2회)</t>
  </si>
  <si>
    <t xml:space="preserve"> 사무용품비, 인쇄비, 수수료 등</t>
  </si>
  <si>
    <t>직원연수, 경조사, 복리후생비</t>
  </si>
  <si>
    <t>직원근무복, 기타행사비(부활,성탄)</t>
  </si>
  <si>
    <t xml:space="preserve">    4) 후원금 세출내역  </t>
  </si>
  <si>
    <t>명절휴가비
(50%씩
연2회)</t>
  </si>
  <si>
    <t xml:space="preserve">    3) 자부담 세출내역  </t>
  </si>
  <si>
    <t>증감율(%)
(C/A*100)</t>
  </si>
  <si>
    <t>교통급식비
(110,000원)</t>
  </si>
  <si>
    <t>사. 임직원 보수 일람표 (라온)</t>
  </si>
  <si>
    <t>시설장비           유지비</t>
  </si>
  <si>
    <t>지역사회기관교류 및 
행사참가비</t>
  </si>
  <si>
    <t>사회복지법인 천주교수원교구사회복지회</t>
  </si>
  <si>
    <t>일부 조정하여 사용할 수 있다.</t>
  </si>
  <si>
    <t xml:space="preserve"> 세입세출의 명세는 다음과 같다.</t>
  </si>
  <si>
    <t>세                출</t>
  </si>
  <si>
    <t xml:space="preserve">    1) 보조금 세출내역  </t>
  </si>
  <si>
    <t>아. 자부담 계약직 인건비 일람표</t>
  </si>
  <si>
    <t xml:space="preserve">  ▣  2021년  종사자  인건비 총계표</t>
  </si>
  <si>
    <t>이는 반드시 차기 추가경정예산에 반영하여야 한다.</t>
  </si>
  <si>
    <t>가족수당
(40,000원)
(2만,6만,10만)</t>
  </si>
  <si>
    <t>추가지원수당
(보수월액*1/
209*1.5*5</t>
  </si>
  <si>
    <t>가족수당
(30,000원)
(20,000원)</t>
  </si>
  <si>
    <t>운영비 5,760,520원  4종 80,010원</t>
  </si>
  <si>
    <t>기말수당
(50%씩 연4회
-3,6,9,12월)</t>
  </si>
  <si>
    <t>1. 세입의 주요재원은 다음과 같다. (관 기준)</t>
  </si>
  <si>
    <t>및 사회복지시설  재무회계규칙」에 따라 집행한다.</t>
  </si>
  <si>
    <t>2024.00.00. 입사예정</t>
    <phoneticPr fontId="65" type="noConversion"/>
  </si>
  <si>
    <t>* 각 홈별 배분 조정</t>
    <phoneticPr fontId="65" type="noConversion"/>
  </si>
  <si>
    <t>* 중식 중단으로 식재로 구입 감소</t>
    <phoneticPr fontId="65" type="noConversion"/>
  </si>
  <si>
    <t>* 예산 부족으로 생활재활교사 1월~9월 미채용에 따른 감액</t>
    <phoneticPr fontId="65" type="noConversion"/>
  </si>
  <si>
    <t>2024년 1차 추경</t>
    <phoneticPr fontId="65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</si>
</sst>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17">
    <numFmt numFmtId="42" formatCode="_-&quot;₩&quot;* #,##0_-;\-&quot;₩&quot;* #,##0_-;_-&quot;₩&quot;* &quot;-&quot;_-;_-@_-"/>
    <numFmt numFmtId="41" formatCode="_-* #,##0_-;\-* #,##0_-;_-* &quot;-&quot;_-;_-@_-"/>
    <numFmt numFmtId="43" formatCode="_-* #,##0.00_-;\-* #,##0.00_-;_-* &quot;-&quot;??_-;_-@_-"/>
    <numFmt numFmtId="176" formatCode="#,##0_ "/>
    <numFmt numFmtId="177" formatCode="#,##0_);[Red]\(#,##0\)"/>
    <numFmt numFmtId="178" formatCode="#,##0.00_ "/>
    <numFmt numFmtId="179" formatCode="#,##0;[Red]#,##0"/>
    <numFmt numFmtId="180" formatCode="##&quot;월&quot;"/>
    <numFmt numFmtId="181" formatCode="##&quot;명&quot;"/>
    <numFmt numFmtId="182" formatCode="##&quot;회&quot;"/>
    <numFmt numFmtId="183" formatCode="_-* #,##0_-;\-* #,##0_-;_-* &quot;-&quot;??_-;_-@_-"/>
    <numFmt numFmtId="184" formatCode="0.000%"/>
    <numFmt numFmtId="185" formatCode="##&quot;건&quot;"/>
    <numFmt numFmtId="186" formatCode="##&quot;일&quot;"/>
    <numFmt numFmtId="187" formatCode="#,###&quot;원&quot;"/>
    <numFmt numFmtId="188" formatCode="0.0%"/>
    <numFmt numFmtId="189" formatCode="##&quot;대&quot;"/>
  </numFmts>
  <fonts count="66">
    <font>
      <sz val="11"/>
      <color rgb="FF000000"/>
      <name val="굴림체"/>
    </font>
    <font>
      <sz val="10"/>
      <color rgb="FF000000"/>
      <name val="굴림"/>
      <family val="3"/>
      <charset val="129"/>
    </font>
    <font>
      <sz val="11"/>
      <color rgb="FF000000"/>
      <name val="돋움"/>
      <family val="3"/>
      <charset val="129"/>
    </font>
    <font>
      <sz val="11"/>
      <color rgb="FF000000"/>
      <name val="HY그래픽"/>
      <family val="1"/>
      <charset val="129"/>
    </font>
    <font>
      <b/>
      <sz val="20"/>
      <color rgb="FF000000"/>
      <name val="HY그래픽"/>
      <family val="1"/>
      <charset val="129"/>
    </font>
    <font>
      <sz val="10"/>
      <color rgb="FF000000"/>
      <name val="HY그래픽"/>
      <family val="1"/>
      <charset val="129"/>
    </font>
    <font>
      <sz val="14"/>
      <color rgb="FF000000"/>
      <name val="HY그래픽"/>
      <family val="1"/>
      <charset val="129"/>
    </font>
    <font>
      <b/>
      <sz val="11"/>
      <color rgb="FF000000"/>
      <name val="HY그래픽"/>
      <family val="1"/>
      <charset val="129"/>
    </font>
    <font>
      <b/>
      <sz val="15"/>
      <color rgb="FF000000"/>
      <name val="HY그래픽"/>
      <family val="1"/>
      <charset val="129"/>
    </font>
    <font>
      <sz val="11"/>
      <color rgb="FFFF0000"/>
      <name val="HY그래픽"/>
      <family val="1"/>
      <charset val="129"/>
    </font>
    <font>
      <sz val="7"/>
      <color rgb="FF000000"/>
      <name val="HY그래픽"/>
      <family val="1"/>
      <charset val="129"/>
    </font>
    <font>
      <sz val="10"/>
      <color rgb="FFFF0000"/>
      <name val="HY그래픽"/>
      <family val="1"/>
      <charset val="129"/>
    </font>
    <font>
      <sz val="11"/>
      <color rgb="FFFF0000"/>
      <name val="굴림체"/>
      <family val="3"/>
      <charset val="129"/>
    </font>
    <font>
      <sz val="10"/>
      <color rgb="FF000000"/>
      <name val="맑은 고딕"/>
      <family val="3"/>
      <charset val="129"/>
    </font>
    <font>
      <b/>
      <sz val="12"/>
      <color rgb="FF000000"/>
      <name val="맑은 고딕"/>
      <family val="3"/>
      <charset val="129"/>
    </font>
    <font>
      <b/>
      <sz val="10"/>
      <color rgb="FF000000"/>
      <name val="맑은 고딕"/>
      <family val="3"/>
      <charset val="129"/>
    </font>
    <font>
      <b/>
      <sz val="14"/>
      <color rgb="FF000000"/>
      <name val="바탕"/>
      <family val="1"/>
      <charset val="129"/>
    </font>
    <font>
      <b/>
      <sz val="12"/>
      <color rgb="FF000000"/>
      <name val="바탕"/>
      <family val="1"/>
      <charset val="129"/>
    </font>
    <font>
      <b/>
      <sz val="6"/>
      <color rgb="FF000000"/>
      <name val="바탕"/>
      <family val="1"/>
      <charset val="129"/>
    </font>
    <font>
      <b/>
      <sz val="10"/>
      <color rgb="FF000000"/>
      <name val="바탕"/>
      <family val="1"/>
      <charset val="129"/>
    </font>
    <font>
      <b/>
      <sz val="8"/>
      <color rgb="FF000000"/>
      <name val="바탕"/>
      <family val="1"/>
      <charset val="129"/>
    </font>
    <font>
      <b/>
      <sz val="11"/>
      <color rgb="FF000000"/>
      <name val="바탕"/>
      <family val="1"/>
      <charset val="129"/>
    </font>
    <font>
      <b/>
      <sz val="9"/>
      <color rgb="FF000000"/>
      <name val="바탕"/>
      <family val="1"/>
      <charset val="129"/>
    </font>
    <font>
      <sz val="10"/>
      <color rgb="FF000000"/>
      <name val="바탕"/>
      <family val="1"/>
      <charset val="129"/>
    </font>
    <font>
      <sz val="8"/>
      <color rgb="FF000000"/>
      <name val="바탕"/>
      <family val="1"/>
      <charset val="129"/>
    </font>
    <font>
      <sz val="10"/>
      <color rgb="FF000000"/>
      <name val="한컴바탕"/>
      <family val="3"/>
      <charset val="129"/>
    </font>
    <font>
      <sz val="10"/>
      <color rgb="FF000000"/>
      <name val="돋움"/>
      <family val="3"/>
      <charset val="129"/>
    </font>
    <font>
      <b/>
      <sz val="10"/>
      <color rgb="FF000000"/>
      <name val="한컴바탕"/>
      <family val="3"/>
      <charset val="129"/>
    </font>
    <font>
      <b/>
      <sz val="10"/>
      <color rgb="FF000000"/>
      <name val="돋움"/>
      <family val="3"/>
      <charset val="129"/>
    </font>
    <font>
      <sz val="7.5"/>
      <color rgb="FF000000"/>
      <name val="바탕"/>
      <family val="1"/>
      <charset val="129"/>
    </font>
    <font>
      <sz val="7.5"/>
      <color rgb="FF000000"/>
      <name val="한컴바탕"/>
      <family val="3"/>
      <charset val="129"/>
    </font>
    <font>
      <sz val="7.5"/>
      <color rgb="FF000000"/>
      <name val="돋움"/>
      <family val="3"/>
      <charset val="129"/>
    </font>
    <font>
      <sz val="9"/>
      <color rgb="FF000000"/>
      <name val="바탕"/>
      <family val="1"/>
      <charset val="129"/>
    </font>
    <font>
      <sz val="7"/>
      <color rgb="FF000000"/>
      <name val="바탕"/>
      <family val="1"/>
      <charset val="129"/>
    </font>
    <font>
      <sz val="6"/>
      <color rgb="FF000000"/>
      <name val="바탕"/>
      <family val="1"/>
      <charset val="129"/>
    </font>
    <font>
      <sz val="11"/>
      <color rgb="FF000000"/>
      <name val="바탕"/>
      <family val="1"/>
      <charset val="129"/>
    </font>
    <font>
      <b/>
      <sz val="20"/>
      <color rgb="FF000000"/>
      <name val="바탕"/>
      <family val="1"/>
      <charset val="129"/>
    </font>
    <font>
      <sz val="20"/>
      <color rgb="FF000000"/>
      <name val="바탕"/>
      <family val="1"/>
      <charset val="129"/>
    </font>
    <font>
      <b/>
      <sz val="16"/>
      <color rgb="FF000000"/>
      <name val="바탕"/>
      <family val="1"/>
      <charset val="129"/>
    </font>
    <font>
      <b/>
      <sz val="36"/>
      <color rgb="FF000000"/>
      <name val="바탕"/>
      <family val="1"/>
      <charset val="129"/>
    </font>
    <font>
      <b/>
      <sz val="15"/>
      <color rgb="FF000000"/>
      <name val="바탕"/>
      <family val="1"/>
      <charset val="129"/>
    </font>
    <font>
      <b/>
      <sz val="24"/>
      <color rgb="FF000000"/>
      <name val="바탕"/>
      <family val="1"/>
      <charset val="129"/>
    </font>
    <font>
      <sz val="8"/>
      <color rgb="FF000000"/>
      <name val="굴림"/>
      <family val="3"/>
      <charset val="129"/>
    </font>
    <font>
      <sz val="11"/>
      <color rgb="FF000000"/>
      <name val="굴림"/>
      <family val="3"/>
      <charset val="129"/>
    </font>
    <font>
      <b/>
      <sz val="12"/>
      <color rgb="FF000000"/>
      <name val="굴림"/>
      <family val="3"/>
      <charset val="129"/>
    </font>
    <font>
      <b/>
      <sz val="8"/>
      <color rgb="FF000000"/>
      <name val="굴림"/>
      <family val="3"/>
      <charset val="129"/>
    </font>
    <font>
      <sz val="8"/>
      <color rgb="FFFF0000"/>
      <name val="굴림"/>
      <family val="3"/>
      <charset val="129"/>
    </font>
    <font>
      <b/>
      <sz val="10"/>
      <color rgb="FF000000"/>
      <name val="굴림"/>
      <family val="3"/>
      <charset val="129"/>
    </font>
    <font>
      <b/>
      <sz val="14"/>
      <color rgb="FF000000"/>
      <name val="굴림"/>
      <family val="3"/>
      <charset val="129"/>
    </font>
    <font>
      <b/>
      <sz val="16"/>
      <color rgb="FF000000"/>
      <name val="굴림"/>
      <family val="3"/>
      <charset val="129"/>
    </font>
    <font>
      <sz val="9"/>
      <color rgb="FF000000"/>
      <name val="굴림"/>
      <family val="3"/>
      <charset val="129"/>
    </font>
    <font>
      <b/>
      <sz val="20"/>
      <color rgb="FF000000"/>
      <name val="굴림"/>
      <family val="3"/>
      <charset val="129"/>
    </font>
    <font>
      <b/>
      <sz val="9"/>
      <color rgb="FF000000"/>
      <name val="굴림"/>
      <family val="3"/>
      <charset val="129"/>
    </font>
    <font>
      <b/>
      <u/>
      <sz val="10"/>
      <color rgb="FF000000"/>
      <name val="굴림"/>
      <family val="3"/>
      <charset val="129"/>
    </font>
    <font>
      <sz val="11"/>
      <color rgb="FFFF0000"/>
      <name val="굴림"/>
      <family val="3"/>
      <charset val="129"/>
    </font>
    <font>
      <sz val="7"/>
      <color rgb="FF000000"/>
      <name val="굴림"/>
      <family val="3"/>
      <charset val="129"/>
    </font>
    <font>
      <sz val="12"/>
      <color rgb="FF000000"/>
      <name val="굴림"/>
      <family val="3"/>
      <charset val="129"/>
    </font>
    <font>
      <b/>
      <sz val="11"/>
      <color rgb="FF000000"/>
      <name val="굴림"/>
      <family val="3"/>
      <charset val="129"/>
    </font>
    <font>
      <sz val="14"/>
      <color rgb="FF000000"/>
      <name val="바탕"/>
      <family val="1"/>
      <charset val="129"/>
    </font>
    <font>
      <b/>
      <sz val="9"/>
      <color rgb="FF000000"/>
      <name val="Tahoma"/>
      <family val="2"/>
    </font>
    <font>
      <sz val="9"/>
      <color rgb="FF000000"/>
      <name val="Tahoma"/>
      <family val="2"/>
    </font>
    <font>
      <sz val="9"/>
      <color rgb="FF000000"/>
      <name val="돋움"/>
      <family val="3"/>
      <charset val="129"/>
    </font>
    <font>
      <b/>
      <sz val="11"/>
      <color rgb="FF000000"/>
      <name val="Tahoma"/>
      <family val="2"/>
    </font>
    <font>
      <b/>
      <sz val="11"/>
      <color rgb="FF000000"/>
      <name val="돋움"/>
      <family val="3"/>
      <charset val="129"/>
    </font>
    <font>
      <sz val="11"/>
      <color rgb="FF000000"/>
      <name val="굴림체"/>
      <family val="3"/>
      <charset val="129"/>
    </font>
    <font>
      <sz val="8"/>
      <name val="돋움"/>
      <family val="3"/>
      <charset val="129"/>
    </font>
  </fonts>
  <fills count="15">
    <fill>
      <patternFill patternType="none"/>
    </fill>
    <fill>
      <patternFill patternType="gray125"/>
    </fill>
    <fill>
      <patternFill patternType="solid">
        <fgColor rgb="FFD9D9D9"/>
        <bgColor indexed="64"/>
      </patternFill>
    </fill>
    <fill>
      <patternFill patternType="solid">
        <fgColor rgb="FFDCE6F2"/>
        <bgColor indexed="64"/>
      </patternFill>
    </fill>
    <fill>
      <patternFill patternType="solid">
        <fgColor rgb="FFFFFFFF"/>
        <bgColor indexed="64"/>
      </patternFill>
    </fill>
    <fill>
      <patternFill patternType="solid">
        <fgColor rgb="FFEBF1DE"/>
        <bgColor indexed="64"/>
      </patternFill>
    </fill>
    <fill>
      <patternFill patternType="solid">
        <fgColor rgb="FFFFFF99"/>
        <bgColor indexed="64"/>
      </patternFill>
    </fill>
    <fill>
      <patternFill patternType="solid">
        <fgColor rgb="FFFFCC99"/>
        <bgColor indexed="64"/>
      </patternFill>
    </fill>
    <fill>
      <patternFill patternType="solid">
        <fgColor rgb="FFCCFFCC"/>
        <bgColor indexed="64"/>
      </patternFill>
    </fill>
    <fill>
      <patternFill patternType="solid">
        <fgColor rgb="FFCCFFFF"/>
        <bgColor indexed="64"/>
      </patternFill>
    </fill>
    <fill>
      <patternFill patternType="solid">
        <fgColor rgb="FFCC99FF"/>
        <bgColor indexed="64"/>
      </patternFill>
    </fill>
    <fill>
      <patternFill patternType="solid">
        <fgColor rgb="FFFF9900"/>
        <bgColor indexed="64"/>
      </patternFill>
    </fill>
    <fill>
      <patternFill patternType="solid">
        <fgColor rgb="FFC0C0C0"/>
        <bgColor indexed="64"/>
      </patternFill>
    </fill>
    <fill>
      <patternFill patternType="solid">
        <fgColor rgb="FFE6E0ED"/>
        <bgColor indexed="64"/>
      </patternFill>
    </fill>
    <fill>
      <patternFill patternType="solid">
        <fgColor rgb="FFDBEEF3"/>
        <bgColor indexed="64"/>
      </patternFill>
    </fill>
  </fills>
  <borders count="167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/>
      <right style="thin">
        <color auto="1"/>
      </right>
      <top style="thin">
        <color auto="1"/>
      </top>
      <bottom style="thin">
        <color auto="1"/>
      </bottom>
      <diagonal/>
    </border>
    <border>
      <left/>
      <right/>
      <top/>
      <bottom style="thin">
        <color auto="1"/>
      </bottom>
      <diagonal/>
    </border>
    <border>
      <left style="thin">
        <color auto="1"/>
      </left>
      <right style="thin">
        <color auto="1"/>
      </right>
      <top/>
      <bottom style="thin">
        <color auto="1"/>
      </bottom>
      <diagonal/>
    </border>
    <border>
      <left style="thin">
        <color auto="1"/>
      </left>
      <right style="hair">
        <color auto="1"/>
      </right>
      <top style="hair">
        <color auto="1"/>
      </top>
      <bottom style="double">
        <color auto="1"/>
      </bottom>
      <diagonal/>
    </border>
    <border>
      <left style="hair">
        <color auto="1"/>
      </left>
      <right style="hair">
        <color auto="1"/>
      </right>
      <top style="hair">
        <color auto="1"/>
      </top>
      <bottom style="double">
        <color auto="1"/>
      </bottom>
      <diagonal/>
    </border>
    <border>
      <left style="hair">
        <color auto="1"/>
      </left>
      <right style="hair">
        <color auto="1"/>
      </right>
      <top/>
      <bottom style="hair">
        <color auto="1"/>
      </bottom>
      <diagonal/>
    </border>
    <border>
      <left style="hair">
        <color auto="1"/>
      </left>
      <right style="hair">
        <color auto="1"/>
      </right>
      <top style="hair">
        <color auto="1"/>
      </top>
      <bottom style="hair">
        <color auto="1"/>
      </bottom>
      <diagonal/>
    </border>
    <border>
      <left style="hair">
        <color auto="1"/>
      </left>
      <right/>
      <top style="double">
        <color auto="1"/>
      </top>
      <bottom style="hair">
        <color auto="1"/>
      </bottom>
      <diagonal/>
    </border>
    <border>
      <left/>
      <right/>
      <top style="double">
        <color auto="1"/>
      </top>
      <bottom style="hair">
        <color auto="1"/>
      </bottom>
      <diagonal/>
    </border>
    <border>
      <left/>
      <right style="thin">
        <color auto="1"/>
      </right>
      <top style="double">
        <color auto="1"/>
      </top>
      <bottom style="hair">
        <color auto="1"/>
      </bottom>
      <diagonal/>
    </border>
    <border>
      <left style="thin">
        <color auto="1"/>
      </left>
      <right style="hair">
        <color auto="1"/>
      </right>
      <top style="hair">
        <color auto="1"/>
      </top>
      <bottom style="hair">
        <color auto="1"/>
      </bottom>
      <diagonal/>
    </border>
    <border>
      <left style="hair">
        <color auto="1"/>
      </left>
      <right/>
      <top style="hair">
        <color auto="1"/>
      </top>
      <bottom style="hair">
        <color auto="1"/>
      </bottom>
      <diagonal/>
    </border>
    <border>
      <left/>
      <right/>
      <top style="hair">
        <color auto="1"/>
      </top>
      <bottom style="hair">
        <color auto="1"/>
      </bottom>
      <diagonal/>
    </border>
    <border>
      <left/>
      <right style="thin">
        <color auto="1"/>
      </right>
      <top style="hair">
        <color auto="1"/>
      </top>
      <bottom style="hair">
        <color auto="1"/>
      </bottom>
      <diagonal/>
    </border>
    <border>
      <left style="thin">
        <color auto="1"/>
      </left>
      <right style="hair">
        <color auto="1"/>
      </right>
      <top style="hair">
        <color auto="1"/>
      </top>
      <bottom/>
      <diagonal/>
    </border>
    <border>
      <left style="thin">
        <color auto="1"/>
      </left>
      <right style="hair">
        <color auto="1"/>
      </right>
      <top/>
      <bottom/>
      <diagonal/>
    </border>
    <border>
      <left style="hair">
        <color auto="1"/>
      </left>
      <right style="hair">
        <color auto="1"/>
      </right>
      <top style="hair">
        <color auto="1"/>
      </top>
      <bottom/>
      <diagonal/>
    </border>
    <border>
      <left style="hair">
        <color auto="1"/>
      </left>
      <right style="hair">
        <color auto="1"/>
      </right>
      <top/>
      <bottom/>
      <diagonal/>
    </border>
    <border>
      <left style="thin">
        <color auto="1"/>
      </left>
      <right style="hair">
        <color auto="1"/>
      </right>
      <top/>
      <bottom style="hair">
        <color auto="1"/>
      </bottom>
      <diagonal/>
    </border>
    <border>
      <left style="hair">
        <color auto="1"/>
      </left>
      <right/>
      <top/>
      <bottom/>
      <diagonal/>
    </border>
    <border>
      <left style="hair">
        <color auto="1"/>
      </left>
      <right/>
      <top/>
      <bottom style="hair">
        <color auto="1"/>
      </bottom>
      <diagonal/>
    </border>
    <border>
      <left style="thin">
        <color auto="1"/>
      </left>
      <right style="hair">
        <color auto="1"/>
      </right>
      <top/>
      <bottom style="thin">
        <color auto="1"/>
      </bottom>
      <diagonal/>
    </border>
    <border>
      <left style="hair">
        <color auto="1"/>
      </left>
      <right style="hair">
        <color auto="1"/>
      </right>
      <top/>
      <bottom style="thin">
        <color auto="1"/>
      </bottom>
      <diagonal/>
    </border>
    <border>
      <left style="hair">
        <color auto="1"/>
      </left>
      <right style="hair">
        <color auto="1"/>
      </right>
      <top style="hair">
        <color auto="1"/>
      </top>
      <bottom style="thin">
        <color auto="1"/>
      </bottom>
      <diagonal/>
    </border>
    <border>
      <left style="hair">
        <color auto="1"/>
      </left>
      <right/>
      <top style="hair">
        <color auto="1"/>
      </top>
      <bottom style="thin">
        <color auto="1"/>
      </bottom>
      <diagonal/>
    </border>
    <border>
      <left/>
      <right/>
      <top style="hair">
        <color auto="1"/>
      </top>
      <bottom style="thin">
        <color auto="1"/>
      </bottom>
      <diagonal/>
    </border>
    <border>
      <left/>
      <right style="thin">
        <color auto="1"/>
      </right>
      <top style="hair">
        <color auto="1"/>
      </top>
      <bottom style="thin">
        <color auto="1"/>
      </bottom>
      <diagonal/>
    </border>
    <border>
      <left/>
      <right style="hair">
        <color auto="1"/>
      </right>
      <top style="hair">
        <color auto="1"/>
      </top>
      <bottom style="hair">
        <color auto="1"/>
      </bottom>
      <diagonal/>
    </border>
    <border>
      <left/>
      <right style="hair">
        <color auto="1"/>
      </right>
      <top/>
      <bottom style="hair">
        <color auto="1"/>
      </bottom>
      <diagonal/>
    </border>
    <border>
      <left/>
      <right style="hair">
        <color auto="1"/>
      </right>
      <top style="hair">
        <color auto="1"/>
      </top>
      <bottom style="thin">
        <color auto="1"/>
      </bottom>
      <diagonal/>
    </border>
    <border>
      <left/>
      <right/>
      <top/>
      <bottom style="hair">
        <color auto="1"/>
      </bottom>
      <diagonal/>
    </border>
    <border>
      <left/>
      <right style="thin">
        <color auto="1"/>
      </right>
      <top/>
      <bottom style="hair">
        <color auto="1"/>
      </bottom>
      <diagonal/>
    </border>
    <border>
      <left style="thin">
        <color auto="1"/>
      </left>
      <right style="hair">
        <color auto="1"/>
      </right>
      <top style="thin">
        <color auto="1"/>
      </top>
      <bottom style="double">
        <color auto="1"/>
      </bottom>
      <diagonal/>
    </border>
    <border>
      <left style="hair">
        <color auto="1"/>
      </left>
      <right style="hair">
        <color auto="1"/>
      </right>
      <top style="thin">
        <color auto="1"/>
      </top>
      <bottom style="double">
        <color auto="1"/>
      </bottom>
      <diagonal/>
    </border>
    <border>
      <left style="hair">
        <color auto="1"/>
      </left>
      <right style="thin">
        <color auto="1"/>
      </right>
      <top style="thin">
        <color auto="1"/>
      </top>
      <bottom style="double">
        <color auto="1"/>
      </bottom>
      <diagonal/>
    </border>
    <border>
      <left/>
      <right style="hair">
        <color auto="1"/>
      </right>
      <top style="thin">
        <color auto="1"/>
      </top>
      <bottom style="double">
        <color auto="1"/>
      </bottom>
      <diagonal/>
    </border>
    <border>
      <left style="hair">
        <color auto="1"/>
      </left>
      <right style="thin">
        <color auto="1"/>
      </right>
      <top style="double">
        <color auto="1"/>
      </top>
      <bottom style="hair">
        <color auto="1"/>
      </bottom>
      <diagonal/>
    </border>
    <border>
      <left style="hair">
        <color auto="1"/>
      </left>
      <right style="thin">
        <color auto="1"/>
      </right>
      <top style="hair">
        <color auto="1"/>
      </top>
      <bottom style="hair">
        <color auto="1"/>
      </bottom>
      <diagonal/>
    </border>
    <border>
      <left style="medium">
        <color auto="1"/>
      </left>
      <right style="hair">
        <color auto="1"/>
      </right>
      <top style="medium">
        <color auto="1"/>
      </top>
      <bottom style="double">
        <color auto="1"/>
      </bottom>
      <diagonal/>
    </border>
    <border>
      <left style="hair">
        <color auto="1"/>
      </left>
      <right style="hair">
        <color auto="1"/>
      </right>
      <top style="medium">
        <color auto="1"/>
      </top>
      <bottom style="double">
        <color auto="1"/>
      </bottom>
      <diagonal/>
    </border>
    <border>
      <left style="hair">
        <color auto="1"/>
      </left>
      <right style="medium">
        <color auto="1"/>
      </right>
      <top style="medium">
        <color auto="1"/>
      </top>
      <bottom style="double">
        <color auto="1"/>
      </bottom>
      <diagonal/>
    </border>
    <border>
      <left style="medium">
        <color auto="1"/>
      </left>
      <right style="medium">
        <color auto="1"/>
      </right>
      <top style="medium">
        <color auto="1"/>
      </top>
      <bottom style="double">
        <color auto="1"/>
      </bottom>
      <diagonal/>
    </border>
    <border>
      <left/>
      <right style="hair">
        <color auto="1"/>
      </right>
      <top style="medium">
        <color auto="1"/>
      </top>
      <bottom style="double">
        <color auto="1"/>
      </bottom>
      <diagonal/>
    </border>
    <border>
      <left style="hair">
        <color auto="1"/>
      </left>
      <right style="medium">
        <color auto="1"/>
      </right>
      <top/>
      <bottom style="hair">
        <color auto="1"/>
      </bottom>
      <diagonal/>
    </border>
    <border>
      <left style="medium">
        <color auto="1"/>
      </left>
      <right style="medium">
        <color auto="1"/>
      </right>
      <top/>
      <bottom style="hair">
        <color auto="1"/>
      </bottom>
      <diagonal/>
    </border>
    <border>
      <left style="hair">
        <color auto="1"/>
      </left>
      <right style="medium">
        <color auto="1"/>
      </right>
      <top style="double">
        <color auto="1"/>
      </top>
      <bottom style="hair">
        <color auto="1"/>
      </bottom>
      <diagonal/>
    </border>
    <border>
      <left style="thin">
        <color auto="1"/>
      </left>
      <right style="medium">
        <color auto="1"/>
      </right>
      <top style="hair">
        <color auto="1"/>
      </top>
      <bottom style="hair">
        <color auto="1"/>
      </bottom>
      <diagonal/>
    </border>
    <border>
      <left/>
      <right style="medium">
        <color auto="1"/>
      </right>
      <top style="hair">
        <color auto="1"/>
      </top>
      <bottom style="hair">
        <color auto="1"/>
      </bottom>
      <diagonal/>
    </border>
    <border>
      <left style="hair">
        <color auto="1"/>
      </left>
      <right style="medium">
        <color auto="1"/>
      </right>
      <top style="hair">
        <color auto="1"/>
      </top>
      <bottom style="hair">
        <color auto="1"/>
      </bottom>
      <diagonal/>
    </border>
    <border>
      <left style="hair">
        <color auto="1"/>
      </left>
      <right style="hair">
        <color auto="1"/>
      </right>
      <top style="hair">
        <color auto="1"/>
      </top>
      <bottom style="medium">
        <color auto="1"/>
      </bottom>
      <diagonal/>
    </border>
    <border>
      <left style="hair">
        <color auto="1"/>
      </left>
      <right style="thin">
        <color auto="1"/>
      </right>
      <top style="hair">
        <color auto="1"/>
      </top>
      <bottom style="medium">
        <color auto="1"/>
      </bottom>
      <diagonal/>
    </border>
    <border>
      <left style="thin">
        <color auto="1"/>
      </left>
      <right style="medium">
        <color auto="1"/>
      </right>
      <top style="hair">
        <color auto="1"/>
      </top>
      <bottom style="medium">
        <color auto="1"/>
      </bottom>
      <diagonal/>
    </border>
    <border>
      <left/>
      <right style="hair">
        <color auto="1"/>
      </right>
      <top style="hair">
        <color auto="1"/>
      </top>
      <bottom style="medium">
        <color auto="1"/>
      </bottom>
      <diagonal/>
    </border>
    <border>
      <left style="hair">
        <color auto="1"/>
      </left>
      <right style="medium">
        <color auto="1"/>
      </right>
      <top style="hair">
        <color auto="1"/>
      </top>
      <bottom style="medium">
        <color auto="1"/>
      </bottom>
      <diagonal/>
    </border>
    <border>
      <left style="hair">
        <color auto="1"/>
      </left>
      <right style="thin">
        <color auto="1"/>
      </right>
      <top/>
      <bottom style="hair">
        <color auto="1"/>
      </bottom>
      <diagonal/>
    </border>
    <border>
      <left style="thin">
        <color auto="1"/>
      </left>
      <right style="medium">
        <color auto="1"/>
      </right>
      <top/>
      <bottom style="hair">
        <color auto="1"/>
      </bottom>
      <diagonal/>
    </border>
    <border>
      <left style="hair">
        <color auto="1"/>
      </left>
      <right style="thin">
        <color auto="1"/>
      </right>
      <top style="hair">
        <color auto="1"/>
      </top>
      <bottom style="thin">
        <color auto="1"/>
      </bottom>
      <diagonal/>
    </border>
    <border>
      <left style="thin">
        <color auto="1"/>
      </left>
      <right style="medium">
        <color auto="1"/>
      </right>
      <top style="hair">
        <color auto="1"/>
      </top>
      <bottom style="thin">
        <color auto="1"/>
      </bottom>
      <diagonal/>
    </border>
    <border>
      <left style="medium">
        <color auto="1"/>
      </left>
      <right/>
      <top style="thin">
        <color auto="1"/>
      </top>
      <bottom/>
      <diagonal/>
    </border>
    <border>
      <left/>
      <right/>
      <top style="thin">
        <color auto="1"/>
      </top>
      <bottom/>
      <diagonal/>
    </border>
    <border>
      <left/>
      <right style="medium">
        <color auto="1"/>
      </right>
      <top style="thin">
        <color auto="1"/>
      </top>
      <bottom/>
      <diagonal/>
    </border>
    <border>
      <left style="medium">
        <color auto="1"/>
      </left>
      <right/>
      <top/>
      <bottom/>
      <diagonal/>
    </border>
    <border>
      <left/>
      <right style="medium">
        <color auto="1"/>
      </right>
      <top/>
      <bottom/>
      <diagonal/>
    </border>
    <border>
      <left style="medium">
        <color auto="1"/>
      </left>
      <right style="hair">
        <color auto="1"/>
      </right>
      <top style="thin">
        <color auto="1"/>
      </top>
      <bottom style="double">
        <color auto="1"/>
      </bottom>
      <diagonal/>
    </border>
    <border>
      <left/>
      <right style="medium">
        <color auto="1"/>
      </right>
      <top style="thin">
        <color auto="1"/>
      </top>
      <bottom style="double">
        <color auto="1"/>
      </bottom>
      <diagonal/>
    </border>
    <border>
      <left/>
      <right style="medium">
        <color auto="1"/>
      </right>
      <top/>
      <bottom style="hair">
        <color auto="1"/>
      </bottom>
      <diagonal/>
    </border>
    <border>
      <left/>
      <right style="medium">
        <color auto="1"/>
      </right>
      <top style="hair">
        <color auto="1"/>
      </top>
      <bottom style="thin">
        <color auto="1"/>
      </bottom>
      <diagonal/>
    </border>
    <border>
      <left style="hair">
        <color auto="1"/>
      </left>
      <right style="thin">
        <color auto="1"/>
      </right>
      <top/>
      <bottom style="medium">
        <color auto="1"/>
      </bottom>
      <diagonal/>
    </border>
    <border>
      <left/>
      <right style="medium">
        <color auto="1"/>
      </right>
      <top style="hair">
        <color auto="1"/>
      </top>
      <bottom style="medium">
        <color auto="1"/>
      </bottom>
      <diagonal/>
    </border>
    <border>
      <left style="hair">
        <color auto="1"/>
      </left>
      <right style="double">
        <color auto="1"/>
      </right>
      <top style="hair">
        <color auto="1"/>
      </top>
      <bottom style="hair">
        <color auto="1"/>
      </bottom>
      <diagonal/>
    </border>
    <border>
      <left style="double">
        <color auto="1"/>
      </left>
      <right style="hair">
        <color auto="1"/>
      </right>
      <top style="hair">
        <color auto="1"/>
      </top>
      <bottom/>
      <diagonal/>
    </border>
    <border>
      <left style="hair">
        <color auto="1"/>
      </left>
      <right style="hair">
        <color auto="1"/>
      </right>
      <top style="double">
        <color auto="1"/>
      </top>
      <bottom style="double">
        <color auto="1"/>
      </bottom>
      <diagonal/>
    </border>
    <border>
      <left/>
      <right/>
      <top/>
      <bottom style="double">
        <color auto="1"/>
      </bottom>
      <diagonal/>
    </border>
    <border>
      <left style="hair">
        <color auto="1"/>
      </left>
      <right/>
      <top style="double">
        <color auto="1"/>
      </top>
      <bottom style="double">
        <color auto="1"/>
      </bottom>
      <diagonal/>
    </border>
    <border>
      <left style="hair">
        <color auto="1"/>
      </left>
      <right style="thin">
        <color auto="1"/>
      </right>
      <top style="double">
        <color auto="1"/>
      </top>
      <bottom style="double">
        <color auto="1"/>
      </bottom>
      <diagonal/>
    </border>
    <border>
      <left style="thin">
        <color auto="1"/>
      </left>
      <right style="hair">
        <color auto="1"/>
      </right>
      <top style="double">
        <color auto="1"/>
      </top>
      <bottom style="hair">
        <color auto="1"/>
      </bottom>
      <diagonal/>
    </border>
    <border>
      <left style="hair">
        <color auto="1"/>
      </left>
      <right style="hair">
        <color auto="1"/>
      </right>
      <top style="double">
        <color auto="1"/>
      </top>
      <bottom style="hair">
        <color auto="1"/>
      </bottom>
      <diagonal/>
    </border>
    <border>
      <left style="hair">
        <color auto="1"/>
      </left>
      <right style="double">
        <color auto="1"/>
      </right>
      <top style="double">
        <color auto="1"/>
      </top>
      <bottom style="hair">
        <color auto="1"/>
      </bottom>
      <diagonal/>
    </border>
    <border>
      <left style="double">
        <color auto="1"/>
      </left>
      <right style="hair">
        <color auto="1"/>
      </right>
      <top style="double">
        <color auto="1"/>
      </top>
      <bottom style="hair">
        <color auto="1"/>
      </bottom>
      <diagonal/>
    </border>
    <border>
      <left style="double">
        <color auto="1"/>
      </left>
      <right style="hair">
        <color auto="1"/>
      </right>
      <top style="hair">
        <color auto="1"/>
      </top>
      <bottom style="hair">
        <color auto="1"/>
      </bottom>
      <diagonal/>
    </border>
    <border>
      <left style="hair">
        <color auto="1"/>
      </left>
      <right style="double">
        <color auto="1"/>
      </right>
      <top style="hair">
        <color auto="1"/>
      </top>
      <bottom/>
      <diagonal/>
    </border>
    <border>
      <left style="hair">
        <color auto="1"/>
      </left>
      <right style="thin">
        <color auto="1"/>
      </right>
      <top style="hair">
        <color auto="1"/>
      </top>
      <bottom/>
      <diagonal/>
    </border>
    <border>
      <left style="thin">
        <color auto="1"/>
      </left>
      <right style="hair">
        <color auto="1"/>
      </right>
      <top style="hair">
        <color auto="1"/>
      </top>
      <bottom style="thin">
        <color auto="1"/>
      </bottom>
      <diagonal/>
    </border>
    <border>
      <left style="hair">
        <color auto="1"/>
      </left>
      <right style="double">
        <color auto="1"/>
      </right>
      <top style="hair">
        <color auto="1"/>
      </top>
      <bottom style="thin">
        <color auto="1"/>
      </bottom>
      <diagonal/>
    </border>
    <border>
      <left style="double">
        <color auto="1"/>
      </left>
      <right style="hair">
        <color auto="1"/>
      </right>
      <top style="hair">
        <color auto="1"/>
      </top>
      <bottom style="thin">
        <color auto="1"/>
      </bottom>
      <diagonal/>
    </border>
    <border>
      <left style="thin">
        <color auto="1"/>
      </left>
      <right style="thin">
        <color auto="1"/>
      </right>
      <top style="thin">
        <color auto="1"/>
      </top>
      <bottom/>
      <diagonal/>
    </border>
    <border>
      <left style="medium">
        <color auto="1"/>
      </left>
      <right style="double">
        <color auto="1"/>
      </right>
      <top style="medium">
        <color auto="1"/>
      </top>
      <bottom/>
      <diagonal/>
    </border>
    <border>
      <left style="medium">
        <color auto="1"/>
      </left>
      <right style="double">
        <color auto="1"/>
      </right>
      <top style="double">
        <color auto="1"/>
      </top>
      <bottom style="double">
        <color auto="1"/>
      </bottom>
      <diagonal/>
    </border>
    <border>
      <left style="medium">
        <color auto="1"/>
      </left>
      <right style="double">
        <color auto="1"/>
      </right>
      <top/>
      <bottom/>
      <diagonal/>
    </border>
    <border>
      <left style="double">
        <color auto="1"/>
      </left>
      <right/>
      <top style="double">
        <color auto="1"/>
      </top>
      <bottom style="double">
        <color auto="1"/>
      </bottom>
      <diagonal/>
    </border>
    <border>
      <left/>
      <right style="hair">
        <color auto="1"/>
      </right>
      <top style="double">
        <color auto="1"/>
      </top>
      <bottom style="double">
        <color auto="1"/>
      </bottom>
      <diagonal/>
    </border>
    <border>
      <left/>
      <right style="medium">
        <color auto="1"/>
      </right>
      <top style="double">
        <color auto="1"/>
      </top>
      <bottom style="double">
        <color auto="1"/>
      </bottom>
      <diagonal/>
    </border>
    <border>
      <left style="double">
        <color auto="1"/>
      </left>
      <right style="hair">
        <color auto="1"/>
      </right>
      <top style="double">
        <color auto="1"/>
      </top>
      <bottom/>
      <diagonal/>
    </border>
    <border>
      <left style="double">
        <color auto="1"/>
      </left>
      <right/>
      <top style="hair">
        <color auto="1"/>
      </top>
      <bottom style="hair">
        <color auto="1"/>
      </bottom>
      <diagonal/>
    </border>
    <border>
      <left/>
      <right style="hair">
        <color auto="1"/>
      </right>
      <top style="hair">
        <color auto="1"/>
      </top>
      <bottom/>
      <diagonal/>
    </border>
    <border>
      <left/>
      <right style="medium">
        <color auto="1"/>
      </right>
      <top style="hair">
        <color auto="1"/>
      </top>
      <bottom/>
      <diagonal/>
    </border>
    <border>
      <left/>
      <right style="thin">
        <color auto="1"/>
      </right>
      <top style="hair">
        <color auto="1"/>
      </top>
      <bottom/>
      <diagonal/>
    </border>
    <border>
      <left style="double">
        <color auto="1"/>
      </left>
      <right/>
      <top/>
      <bottom style="thin">
        <color auto="1"/>
      </bottom>
      <diagonal/>
    </border>
    <border>
      <left style="hair">
        <color auto="1"/>
      </left>
      <right style="thin">
        <color auto="1"/>
      </right>
      <top/>
      <bottom style="thin">
        <color auto="1"/>
      </bottom>
      <diagonal/>
    </border>
    <border>
      <left style="medium">
        <color auto="1"/>
      </left>
      <right style="double">
        <color auto="1"/>
      </right>
      <top style="thin">
        <color auto="1"/>
      </top>
      <bottom/>
      <diagonal/>
    </border>
    <border>
      <left style="double">
        <color auto="1"/>
      </left>
      <right/>
      <top style="thin">
        <color auto="1"/>
      </top>
      <bottom style="double">
        <color auto="1"/>
      </bottom>
      <diagonal/>
    </border>
    <border>
      <left style="double">
        <color auto="1"/>
      </left>
      <right/>
      <top/>
      <bottom/>
      <diagonal/>
    </border>
    <border>
      <left style="hair">
        <color auto="1"/>
      </left>
      <right style="thin">
        <color auto="1"/>
      </right>
      <top/>
      <bottom/>
      <diagonal/>
    </border>
    <border>
      <left style="double">
        <color auto="1"/>
      </left>
      <right/>
      <top style="hair">
        <color auto="1"/>
      </top>
      <bottom/>
      <diagonal/>
    </border>
    <border>
      <left style="thin">
        <color auto="1"/>
      </left>
      <right/>
      <top style="hair">
        <color auto="1"/>
      </top>
      <bottom style="thin">
        <color auto="1"/>
      </bottom>
      <diagonal/>
    </border>
    <border>
      <left style="hair">
        <color auto="1"/>
      </left>
      <right style="medium">
        <color auto="1"/>
      </right>
      <top style="hair">
        <color auto="1"/>
      </top>
      <bottom style="thin">
        <color auto="1"/>
      </bottom>
      <diagonal/>
    </border>
    <border>
      <left style="medium">
        <color auto="1"/>
      </left>
      <right style="double">
        <color auto="1"/>
      </right>
      <top/>
      <bottom style="medium">
        <color auto="1"/>
      </bottom>
      <diagonal/>
    </border>
    <border>
      <left style="double">
        <color auto="1"/>
      </left>
      <right/>
      <top style="hair">
        <color auto="1"/>
      </top>
      <bottom style="medium">
        <color auto="1"/>
      </bottom>
      <diagonal/>
    </border>
    <border>
      <left/>
      <right/>
      <top style="double">
        <color auto="1"/>
      </top>
      <bottom style="double">
        <color auto="1"/>
      </bottom>
      <diagonal/>
    </border>
    <border>
      <left/>
      <right/>
      <top style="hair">
        <color auto="1"/>
      </top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double">
        <color auto="1"/>
      </bottom>
      <diagonal/>
    </border>
    <border>
      <left style="thin">
        <color auto="1"/>
      </left>
      <right/>
      <top style="thin">
        <color auto="1"/>
      </top>
      <bottom style="double">
        <color auto="1"/>
      </bottom>
      <diagonal/>
    </border>
    <border>
      <left style="hair">
        <color auto="1"/>
      </left>
      <right style="double">
        <color auto="1"/>
      </right>
      <top style="double">
        <color auto="1"/>
      </top>
      <bottom style="double">
        <color auto="1"/>
      </bottom>
      <diagonal/>
    </border>
    <border>
      <left style="hair">
        <color auto="1"/>
      </left>
      <right style="thin">
        <color auto="1"/>
      </right>
      <top style="double">
        <color auto="1"/>
      </top>
      <bottom/>
      <diagonal/>
    </border>
    <border>
      <left/>
      <right style="hair">
        <color auto="1"/>
      </right>
      <top style="double">
        <color auto="1"/>
      </top>
      <bottom style="hair">
        <color auto="1"/>
      </bottom>
      <diagonal/>
    </border>
    <border>
      <left style="thin">
        <color auto="1"/>
      </left>
      <right/>
      <top/>
      <bottom/>
      <diagonal/>
    </border>
    <border>
      <left/>
      <right style="double">
        <color auto="1"/>
      </right>
      <top/>
      <bottom/>
      <diagonal/>
    </border>
    <border>
      <left style="double">
        <color auto="1"/>
      </left>
      <right style="hair">
        <color auto="1"/>
      </right>
      <top/>
      <bottom/>
      <diagonal/>
    </border>
    <border>
      <left style="thin">
        <color auto="1"/>
      </left>
      <right/>
      <top/>
      <bottom style="thin">
        <color auto="1"/>
      </bottom>
      <diagonal/>
    </border>
    <border>
      <left/>
      <right style="double">
        <color auto="1"/>
      </right>
      <top/>
      <bottom style="thin">
        <color auto="1"/>
      </bottom>
      <diagonal/>
    </border>
    <border>
      <left style="double">
        <color auto="1"/>
      </left>
      <right style="hair">
        <color auto="1"/>
      </right>
      <top/>
      <bottom style="thin">
        <color auto="1"/>
      </bottom>
      <diagonal/>
    </border>
    <border>
      <left/>
      <right style="thin">
        <color auto="1"/>
      </right>
      <top style="double">
        <color auto="1"/>
      </top>
      <bottom style="double">
        <color auto="1"/>
      </bottom>
      <diagonal/>
    </border>
    <border>
      <left style="thin">
        <color auto="1"/>
      </left>
      <right style="hair">
        <color auto="1"/>
      </right>
      <top style="double">
        <color auto="1"/>
      </top>
      <bottom style="double">
        <color auto="1"/>
      </bottom>
      <diagonal/>
    </border>
    <border>
      <left style="double">
        <color auto="1"/>
      </left>
      <right style="hair">
        <color auto="1"/>
      </right>
      <top style="double">
        <color auto="1"/>
      </top>
      <bottom style="double">
        <color auto="1"/>
      </bottom>
      <diagonal/>
    </border>
    <border>
      <left style="hair">
        <color auto="1"/>
      </left>
      <right style="hair">
        <color auto="1"/>
      </right>
      <top style="thin">
        <color auto="1"/>
      </top>
      <bottom/>
      <diagonal/>
    </border>
    <border>
      <left style="hair">
        <color auto="1"/>
      </left>
      <right style="hair">
        <color auto="1"/>
      </right>
      <top/>
      <bottom style="double">
        <color auto="1"/>
      </bottom>
      <diagonal/>
    </border>
    <border>
      <left style="hair">
        <color auto="1"/>
      </left>
      <right style="double">
        <color auto="1"/>
      </right>
      <top style="thin">
        <color auto="1"/>
      </top>
      <bottom/>
      <diagonal/>
    </border>
    <border>
      <left style="hair">
        <color auto="1"/>
      </left>
      <right style="double">
        <color auto="1"/>
      </right>
      <top/>
      <bottom style="double">
        <color auto="1"/>
      </bottom>
      <diagonal/>
    </border>
    <border>
      <left style="thin">
        <color auto="1"/>
      </left>
      <right/>
      <top style="thin">
        <color auto="1"/>
      </top>
      <bottom style="thin">
        <color auto="1"/>
      </bottom>
      <diagonal/>
    </border>
    <border>
      <left/>
      <right/>
      <top style="thin">
        <color auto="1"/>
      </top>
      <bottom style="thin">
        <color auto="1"/>
      </bottom>
      <diagonal/>
    </border>
    <border>
      <left/>
      <right style="double">
        <color auto="1"/>
      </right>
      <top style="thin">
        <color auto="1"/>
      </top>
      <bottom style="thin">
        <color auto="1"/>
      </bottom>
      <diagonal/>
    </border>
    <border>
      <left style="double">
        <color auto="1"/>
      </left>
      <right style="hair">
        <color auto="1"/>
      </right>
      <top style="thin">
        <color auto="1"/>
      </top>
      <bottom style="hair">
        <color auto="1"/>
      </bottom>
      <diagonal/>
    </border>
    <border>
      <left style="hair">
        <color auto="1"/>
      </left>
      <right style="hair">
        <color auto="1"/>
      </right>
      <top style="thin">
        <color auto="1"/>
      </top>
      <bottom style="hair">
        <color auto="1"/>
      </bottom>
      <diagonal/>
    </border>
    <border>
      <left style="double">
        <color auto="1"/>
      </left>
      <right/>
      <top style="thin">
        <color auto="1"/>
      </top>
      <bottom style="thin">
        <color auto="1"/>
      </bottom>
      <diagonal/>
    </border>
    <border>
      <left style="hair">
        <color auto="1"/>
      </left>
      <right style="thin">
        <color auto="1"/>
      </right>
      <top style="thin">
        <color auto="1"/>
      </top>
      <bottom/>
      <diagonal/>
    </border>
    <border>
      <left style="hair">
        <color auto="1"/>
      </left>
      <right style="thin">
        <color auto="1"/>
      </right>
      <top/>
      <bottom style="double">
        <color auto="1"/>
      </bottom>
      <diagonal/>
    </border>
    <border>
      <left style="thin">
        <color auto="1"/>
      </left>
      <right style="hair">
        <color auto="1"/>
      </right>
      <top style="thin">
        <color auto="1"/>
      </top>
      <bottom style="hair">
        <color auto="1"/>
      </bottom>
      <diagonal/>
    </border>
    <border>
      <left style="hair">
        <color auto="1"/>
      </left>
      <right/>
      <top style="thin">
        <color auto="1"/>
      </top>
      <bottom/>
      <diagonal/>
    </border>
    <border>
      <left/>
      <right style="thin">
        <color auto="1"/>
      </right>
      <top style="thin">
        <color auto="1"/>
      </top>
      <bottom/>
      <diagonal/>
    </border>
    <border>
      <left style="hair">
        <color auto="1"/>
      </left>
      <right/>
      <top/>
      <bottom style="double">
        <color auto="1"/>
      </bottom>
      <diagonal/>
    </border>
    <border>
      <left/>
      <right style="thin">
        <color auto="1"/>
      </right>
      <top/>
      <bottom style="double">
        <color auto="1"/>
      </bottom>
      <diagonal/>
    </border>
    <border>
      <left style="thin">
        <color auto="1"/>
      </left>
      <right/>
      <top style="double">
        <color auto="1"/>
      </top>
      <bottom style="double">
        <color auto="1"/>
      </bottom>
      <diagonal/>
    </border>
    <border>
      <left style="thin">
        <color auto="1"/>
      </left>
      <right/>
      <top style="thin">
        <color auto="1"/>
      </top>
      <bottom style="hair">
        <color auto="1"/>
      </bottom>
      <diagonal/>
    </border>
    <border>
      <left/>
      <right/>
      <top style="thin">
        <color auto="1"/>
      </top>
      <bottom style="hair">
        <color auto="1"/>
      </bottom>
      <diagonal/>
    </border>
    <border>
      <left/>
      <right style="hair">
        <color auto="1"/>
      </right>
      <top style="thin">
        <color auto="1"/>
      </top>
      <bottom style="hair">
        <color auto="1"/>
      </bottom>
      <diagonal/>
    </border>
    <border>
      <left style="hair">
        <color auto="1"/>
      </left>
      <right style="thin">
        <color auto="1"/>
      </right>
      <top style="thin">
        <color auto="1"/>
      </top>
      <bottom style="hair">
        <color auto="1"/>
      </bottom>
      <diagonal/>
    </border>
    <border>
      <left style="hair">
        <color auto="1"/>
      </left>
      <right style="thin">
        <color auto="1"/>
      </right>
      <top style="hair">
        <color auto="1"/>
      </top>
      <bottom style="double">
        <color auto="1"/>
      </bottom>
      <diagonal/>
    </border>
    <border>
      <left/>
      <right/>
      <top/>
      <bottom style="medium">
        <color auto="1"/>
      </bottom>
      <diagonal/>
    </border>
    <border>
      <left style="double">
        <color auto="1"/>
      </left>
      <right/>
      <top style="medium">
        <color auto="1"/>
      </top>
      <bottom/>
      <diagonal/>
    </border>
    <border>
      <left/>
      <right style="thin">
        <color auto="1"/>
      </right>
      <top style="medium">
        <color auto="1"/>
      </top>
      <bottom/>
      <diagonal/>
    </border>
    <border>
      <left/>
      <right/>
      <top style="medium">
        <color auto="1"/>
      </top>
      <bottom/>
      <diagonal/>
    </border>
    <border>
      <left/>
      <right style="medium">
        <color auto="1"/>
      </right>
      <top style="medium">
        <color auto="1"/>
      </top>
      <bottom/>
      <diagonal/>
    </border>
    <border>
      <left style="thin">
        <color auto="1"/>
      </left>
      <right/>
      <top/>
      <bottom style="double">
        <color auto="1"/>
      </bottom>
      <diagonal/>
    </border>
    <border>
      <left style="medium">
        <color auto="1"/>
      </left>
      <right style="hair">
        <color auto="1"/>
      </right>
      <top style="thin">
        <color auto="1"/>
      </top>
      <bottom/>
      <diagonal/>
    </border>
    <border>
      <left style="medium">
        <color auto="1"/>
      </left>
      <right style="hair">
        <color auto="1"/>
      </right>
      <top/>
      <bottom/>
      <diagonal/>
    </border>
    <border>
      <left style="medium">
        <color auto="1"/>
      </left>
      <right style="hair">
        <color auto="1"/>
      </right>
      <top/>
      <bottom style="medium">
        <color auto="1"/>
      </bottom>
      <diagonal/>
    </border>
    <border>
      <left style="medium">
        <color auto="1"/>
      </left>
      <right/>
      <top style="double">
        <color auto="1"/>
      </top>
      <bottom/>
      <diagonal/>
    </border>
    <border>
      <left/>
      <right/>
      <top style="double">
        <color auto="1"/>
      </top>
      <bottom/>
      <diagonal/>
    </border>
    <border>
      <left/>
      <right style="hair">
        <color auto="1"/>
      </right>
      <top style="double">
        <color auto="1"/>
      </top>
      <bottom/>
      <diagonal/>
    </border>
    <border>
      <left style="medium">
        <color auto="1"/>
      </left>
      <right style="hair">
        <color auto="1"/>
      </right>
      <top/>
      <bottom style="thin">
        <color auto="1"/>
      </bottom>
      <diagonal/>
    </border>
    <border>
      <left style="medium">
        <color auto="1"/>
      </left>
      <right style="thin">
        <color auto="1"/>
      </right>
      <top style="thin">
        <color auto="1"/>
      </top>
      <bottom/>
      <diagonal/>
    </border>
    <border>
      <left style="medium">
        <color auto="1"/>
      </left>
      <right style="thin">
        <color auto="1"/>
      </right>
      <top/>
      <bottom/>
      <diagonal/>
    </border>
    <border>
      <left style="medium">
        <color auto="1"/>
      </left>
      <right style="thin">
        <color auto="1"/>
      </right>
      <top/>
      <bottom style="thin">
        <color auto="1"/>
      </bottom>
      <diagonal/>
    </border>
    <border>
      <left style="medium">
        <color auto="1"/>
      </left>
      <right/>
      <top/>
      <bottom style="thin">
        <color auto="1"/>
      </bottom>
      <diagonal/>
    </border>
    <border>
      <left style="medium">
        <color auto="1"/>
      </left>
      <right/>
      <top style="double">
        <color auto="1"/>
      </top>
      <bottom style="hair">
        <color auto="1"/>
      </bottom>
      <diagonal/>
    </border>
  </borders>
  <cellStyleXfs count="14">
    <xf numFmtId="0" fontId="0" fillId="0" borderId="0">
      <alignment vertical="center"/>
    </xf>
    <xf numFmtId="9" fontId="64" fillId="0" borderId="0">
      <alignment vertical="center"/>
    </xf>
    <xf numFmtId="41" fontId="64" fillId="0" borderId="0">
      <alignment vertical="center"/>
    </xf>
    <xf numFmtId="42" fontId="64" fillId="0" borderId="0">
      <alignment vertical="center"/>
    </xf>
    <xf numFmtId="41" fontId="64" fillId="0" borderId="0"/>
    <xf numFmtId="0" fontId="1" fillId="0" borderId="0"/>
    <xf numFmtId="41" fontId="64" fillId="0" borderId="0"/>
    <xf numFmtId="41" fontId="64" fillId="0" borderId="0"/>
    <xf numFmtId="0" fontId="2" fillId="0" borderId="0">
      <alignment vertical="center"/>
    </xf>
    <xf numFmtId="41" fontId="2" fillId="0" borderId="0">
      <alignment vertical="center"/>
    </xf>
    <xf numFmtId="0" fontId="1" fillId="0" borderId="0"/>
    <xf numFmtId="0" fontId="64" fillId="0" borderId="0"/>
    <xf numFmtId="41" fontId="64" fillId="0" borderId="0"/>
    <xf numFmtId="0" fontId="2" fillId="0" borderId="0">
      <alignment vertical="center"/>
    </xf>
  </cellStyleXfs>
  <cellXfs count="1061">
    <xf numFmtId="0" fontId="0" fillId="0" borderId="0" xfId="0" applyNumberFormat="1" applyAlignment="1"/>
    <xf numFmtId="0" fontId="3" fillId="0" borderId="0" xfId="0" applyNumberFormat="1" applyFont="1">
      <alignment vertical="center"/>
    </xf>
    <xf numFmtId="41" fontId="4" fillId="0" borderId="0" xfId="2" applyNumberFormat="1" applyFont="1" applyAlignment="1">
      <alignment horizontal="center" vertical="center"/>
    </xf>
    <xf numFmtId="0" fontId="5" fillId="0" borderId="0" xfId="0" applyNumberFormat="1" applyFont="1">
      <alignment vertical="center"/>
    </xf>
    <xf numFmtId="0" fontId="5" fillId="0" borderId="0" xfId="0" applyNumberFormat="1" applyFont="1" applyAlignment="1">
      <alignment horizontal="center" vertical="center"/>
    </xf>
    <xf numFmtId="41" fontId="5" fillId="0" borderId="0" xfId="2" applyNumberFormat="1" applyFont="1">
      <alignment vertical="center"/>
    </xf>
    <xf numFmtId="0" fontId="3" fillId="0" borderId="0" xfId="0" applyNumberFormat="1" applyFont="1" applyAlignment="1">
      <alignment horizontal="center" vertical="center"/>
    </xf>
    <xf numFmtId="176" fontId="3" fillId="0" borderId="0" xfId="0" applyNumberFormat="1" applyFont="1" applyAlignment="1">
      <alignment horizontal="center" vertical="center"/>
    </xf>
    <xf numFmtId="0" fontId="6" fillId="0" borderId="0" xfId="0" applyNumberFormat="1" applyFont="1" applyAlignment="1"/>
    <xf numFmtId="176" fontId="3" fillId="0" borderId="0" xfId="0" applyNumberFormat="1" applyFont="1" applyAlignment="1"/>
    <xf numFmtId="41" fontId="3" fillId="0" borderId="0" xfId="2" applyNumberFormat="1" applyFont="1">
      <alignment vertical="center"/>
    </xf>
    <xf numFmtId="41" fontId="7" fillId="0" borderId="0" xfId="2" applyNumberFormat="1" applyFont="1" applyAlignment="1">
      <alignment horizontal="left" vertical="center"/>
    </xf>
    <xf numFmtId="177" fontId="5" fillId="0" borderId="0" xfId="0" applyNumberFormat="1" applyFont="1" applyAlignment="1">
      <alignment horizontal="right" vertical="center" shrinkToFit="1"/>
    </xf>
    <xf numFmtId="177" fontId="5" fillId="0" borderId="0" xfId="2" applyNumberFormat="1" applyFont="1" applyAlignment="1">
      <alignment horizontal="right" vertical="center" shrinkToFit="1"/>
    </xf>
    <xf numFmtId="0" fontId="3" fillId="0" borderId="0" xfId="0" applyNumberFormat="1" applyFont="1" applyAlignment="1">
      <alignment vertical="center" shrinkToFit="1"/>
    </xf>
    <xf numFmtId="0" fontId="8" fillId="0" borderId="0" xfId="0" applyNumberFormat="1" applyFont="1" applyAlignment="1">
      <alignment horizontal="left" vertical="center"/>
    </xf>
    <xf numFmtId="0" fontId="3" fillId="0" borderId="0" xfId="0" applyNumberFormat="1" applyFont="1" applyAlignment="1"/>
    <xf numFmtId="0" fontId="7" fillId="0" borderId="0" xfId="0" applyNumberFormat="1" applyFont="1">
      <alignment vertical="center"/>
    </xf>
    <xf numFmtId="176" fontId="3" fillId="0" borderId="0" xfId="0" applyNumberFormat="1" applyFont="1">
      <alignment vertical="center"/>
    </xf>
    <xf numFmtId="176" fontId="3" fillId="0" borderId="0" xfId="0" applyNumberFormat="1" applyFont="1" applyAlignment="1">
      <alignment horizontal="right" vertical="center"/>
    </xf>
    <xf numFmtId="176" fontId="3" fillId="0" borderId="0" xfId="0" applyNumberFormat="1" applyFont="1" applyAlignment="1">
      <alignment horizontal="left" vertical="center"/>
    </xf>
    <xf numFmtId="0" fontId="9" fillId="0" borderId="0" xfId="0" applyNumberFormat="1" applyFont="1">
      <alignment vertical="center"/>
    </xf>
    <xf numFmtId="3" fontId="10" fillId="0" borderId="0" xfId="4" applyNumberFormat="1" applyFont="1" applyAlignment="1">
      <alignment horizontal="center" vertical="center" shrinkToFit="1"/>
    </xf>
    <xf numFmtId="0" fontId="3" fillId="0" borderId="0" xfId="0" applyNumberFormat="1" applyFont="1" applyAlignment="1">
      <alignment horizontal="left" vertical="center"/>
    </xf>
    <xf numFmtId="176" fontId="7" fillId="0" borderId="0" xfId="0" quotePrefix="1" applyNumberFormat="1" applyFont="1">
      <alignment vertical="center"/>
    </xf>
    <xf numFmtId="176" fontId="3" fillId="0" borderId="0" xfId="0" quotePrefix="1" applyNumberFormat="1" applyFont="1" applyAlignment="1">
      <alignment horizontal="right" vertical="center"/>
    </xf>
    <xf numFmtId="177" fontId="11" fillId="0" borderId="0" xfId="2" applyNumberFormat="1" applyFont="1" applyAlignment="1">
      <alignment horizontal="right" vertical="center" shrinkToFit="1"/>
    </xf>
    <xf numFmtId="0" fontId="11" fillId="0" borderId="0" xfId="0" applyNumberFormat="1" applyFont="1">
      <alignment vertical="center"/>
    </xf>
    <xf numFmtId="0" fontId="12" fillId="0" borderId="0" xfId="0" applyNumberFormat="1" applyFont="1" applyAlignment="1">
      <alignment vertical="center" shrinkToFit="1"/>
    </xf>
    <xf numFmtId="42" fontId="13" fillId="0" borderId="0" xfId="3" applyNumberFormat="1" applyFont="1">
      <alignment vertical="center"/>
    </xf>
    <xf numFmtId="41" fontId="13" fillId="0" borderId="0" xfId="2" applyNumberFormat="1" applyFont="1">
      <alignment vertical="center"/>
    </xf>
    <xf numFmtId="42" fontId="13" fillId="0" borderId="0" xfId="3" applyNumberFormat="1" applyFont="1" applyAlignment="1">
      <alignment horizontal="center" vertical="center"/>
    </xf>
    <xf numFmtId="41" fontId="13" fillId="2" borderId="1" xfId="2" applyNumberFormat="1" applyFont="1" applyFill="1" applyBorder="1" applyAlignment="1">
      <alignment horizontal="center" vertical="center"/>
    </xf>
    <xf numFmtId="41" fontId="13" fillId="2" borderId="1" xfId="2" applyNumberFormat="1" applyFont="1" applyFill="1" applyBorder="1" applyAlignment="1">
      <alignment horizontal="center" vertical="center" wrapText="1"/>
    </xf>
    <xf numFmtId="0" fontId="13" fillId="0" borderId="1" xfId="0" applyNumberFormat="1" applyFont="1" applyBorder="1" applyAlignment="1">
      <alignment horizontal="center" vertical="center"/>
    </xf>
    <xf numFmtId="49" fontId="13" fillId="0" borderId="1" xfId="0" applyNumberFormat="1" applyFont="1" applyBorder="1" applyAlignment="1">
      <alignment horizontal="center" vertical="center"/>
    </xf>
    <xf numFmtId="41" fontId="13" fillId="0" borderId="2" xfId="0" applyNumberFormat="1" applyFont="1" applyBorder="1" applyAlignment="1">
      <alignment horizontal="right" vertical="center"/>
    </xf>
    <xf numFmtId="41" fontId="13" fillId="0" borderId="1" xfId="0" applyNumberFormat="1" applyFont="1" applyBorder="1" applyAlignment="1">
      <alignment horizontal="right" vertical="center"/>
    </xf>
    <xf numFmtId="41" fontId="13" fillId="0" borderId="1" xfId="2" applyNumberFormat="1" applyFont="1" applyBorder="1">
      <alignment vertical="center"/>
    </xf>
    <xf numFmtId="41" fontId="13" fillId="3" borderId="1" xfId="2" applyNumberFormat="1" applyFont="1" applyFill="1" applyBorder="1">
      <alignment vertical="center"/>
    </xf>
    <xf numFmtId="49" fontId="13" fillId="4" borderId="1" xfId="0" applyNumberFormat="1" applyFont="1" applyFill="1" applyBorder="1" applyAlignment="1">
      <alignment horizontal="center" vertical="center"/>
    </xf>
    <xf numFmtId="42" fontId="13" fillId="0" borderId="1" xfId="3" applyNumberFormat="1" applyFont="1" applyBorder="1" applyAlignment="1">
      <alignment horizontal="center" vertical="center"/>
    </xf>
    <xf numFmtId="42" fontId="13" fillId="4" borderId="1" xfId="3" applyNumberFormat="1" applyFont="1" applyFill="1" applyBorder="1" applyAlignment="1">
      <alignment horizontal="center" vertical="center"/>
    </xf>
    <xf numFmtId="0" fontId="13" fillId="5" borderId="1" xfId="0" applyNumberFormat="1" applyFont="1" applyFill="1" applyBorder="1" applyAlignment="1">
      <alignment horizontal="center" vertical="center"/>
    </xf>
    <xf numFmtId="41" fontId="13" fillId="5" borderId="2" xfId="0" applyNumberFormat="1" applyFont="1" applyFill="1" applyBorder="1" applyAlignment="1">
      <alignment horizontal="right" vertical="center"/>
    </xf>
    <xf numFmtId="41" fontId="13" fillId="5" borderId="1" xfId="0" applyNumberFormat="1" applyFont="1" applyFill="1" applyBorder="1" applyAlignment="1">
      <alignment horizontal="right" vertical="center"/>
    </xf>
    <xf numFmtId="41" fontId="13" fillId="5" borderId="1" xfId="2" applyNumberFormat="1" applyFont="1" applyFill="1" applyBorder="1">
      <alignment vertical="center"/>
    </xf>
    <xf numFmtId="42" fontId="14" fillId="0" borderId="3" xfId="3" applyNumberFormat="1" applyFont="1" applyBorder="1">
      <alignment vertical="center"/>
    </xf>
    <xf numFmtId="42" fontId="15" fillId="0" borderId="3" xfId="3" applyNumberFormat="1" applyFont="1" applyBorder="1">
      <alignment vertical="center"/>
    </xf>
    <xf numFmtId="41" fontId="13" fillId="2" borderId="4" xfId="2" applyNumberFormat="1" applyFont="1" applyFill="1" applyBorder="1" applyAlignment="1">
      <alignment horizontal="center" vertical="center"/>
    </xf>
    <xf numFmtId="41" fontId="4" fillId="0" borderId="3" xfId="2" applyNumberFormat="1" applyFont="1" applyBorder="1">
      <alignment vertical="center"/>
    </xf>
    <xf numFmtId="42" fontId="15" fillId="0" borderId="0" xfId="3" applyNumberFormat="1" applyFont="1" applyAlignment="1">
      <alignment horizontal="left" vertical="center"/>
    </xf>
    <xf numFmtId="49" fontId="13" fillId="2" borderId="4" xfId="2" applyNumberFormat="1" applyFont="1" applyFill="1" applyBorder="1" applyAlignment="1">
      <alignment horizontal="center" vertical="center"/>
    </xf>
    <xf numFmtId="41" fontId="5" fillId="0" borderId="3" xfId="2" applyNumberFormat="1" applyFont="1" applyBorder="1" applyAlignment="1">
      <alignment horizontal="right" vertical="center"/>
    </xf>
    <xf numFmtId="0" fontId="13" fillId="0" borderId="1" xfId="0" applyNumberFormat="1" applyFont="1" applyBorder="1">
      <alignment vertical="center"/>
    </xf>
    <xf numFmtId="0" fontId="16" fillId="0" borderId="0" xfId="8" applyNumberFormat="1" applyFont="1">
      <alignment vertical="center"/>
    </xf>
    <xf numFmtId="0" fontId="16" fillId="0" borderId="0" xfId="8" applyNumberFormat="1" applyFont="1" applyAlignment="1">
      <alignment horizontal="center" vertical="center"/>
    </xf>
    <xf numFmtId="0" fontId="17" fillId="0" borderId="0" xfId="8" applyNumberFormat="1" applyFont="1" applyAlignment="1">
      <alignment horizontal="center" vertical="center"/>
    </xf>
    <xf numFmtId="0" fontId="17" fillId="0" borderId="0" xfId="8" applyNumberFormat="1" applyFont="1">
      <alignment vertical="center"/>
    </xf>
    <xf numFmtId="176" fontId="17" fillId="0" borderId="0" xfId="8" applyNumberFormat="1" applyFont="1">
      <alignment vertical="center"/>
    </xf>
    <xf numFmtId="41" fontId="17" fillId="0" borderId="0" xfId="9" applyNumberFormat="1" applyFont="1">
      <alignment vertical="center"/>
    </xf>
    <xf numFmtId="179" fontId="18" fillId="0" borderId="0" xfId="8" applyNumberFormat="1" applyFont="1">
      <alignment vertical="center"/>
    </xf>
    <xf numFmtId="0" fontId="18" fillId="0" borderId="0" xfId="8" applyNumberFormat="1" applyFont="1">
      <alignment vertical="center"/>
    </xf>
    <xf numFmtId="176" fontId="18" fillId="0" borderId="0" xfId="8" applyNumberFormat="1" applyFont="1">
      <alignment vertical="center"/>
    </xf>
    <xf numFmtId="0" fontId="19" fillId="0" borderId="0" xfId="8" applyNumberFormat="1" applyFont="1">
      <alignment vertical="center"/>
    </xf>
    <xf numFmtId="0" fontId="20" fillId="0" borderId="0" xfId="8" applyNumberFormat="1" applyFont="1">
      <alignment vertical="center"/>
    </xf>
    <xf numFmtId="41" fontId="18" fillId="0" borderId="0" xfId="9" applyNumberFormat="1" applyFont="1">
      <alignment vertical="center"/>
    </xf>
    <xf numFmtId="0" fontId="21" fillId="0" borderId="0" xfId="8" applyNumberFormat="1" applyFont="1">
      <alignment vertical="center"/>
    </xf>
    <xf numFmtId="0" fontId="19" fillId="0" borderId="0" xfId="8" applyNumberFormat="1" applyFont="1" applyAlignment="1">
      <alignment horizontal="center" vertical="center"/>
    </xf>
    <xf numFmtId="41" fontId="19" fillId="0" borderId="0" xfId="9" applyNumberFormat="1" applyFont="1" applyAlignment="1">
      <alignment horizontal="center" vertical="center"/>
    </xf>
    <xf numFmtId="0" fontId="19" fillId="0" borderId="5" xfId="8" applyNumberFormat="1" applyFont="1" applyBorder="1" applyAlignment="1">
      <alignment horizontal="center" vertical="center"/>
    </xf>
    <xf numFmtId="0" fontId="20" fillId="0" borderId="6" xfId="8" applyNumberFormat="1" applyFont="1" applyBorder="1" applyAlignment="1">
      <alignment horizontal="center" vertical="center"/>
    </xf>
    <xf numFmtId="0" fontId="19" fillId="0" borderId="6" xfId="8" applyNumberFormat="1" applyFont="1" applyBorder="1" applyAlignment="1">
      <alignment horizontal="center" vertical="center"/>
    </xf>
    <xf numFmtId="176" fontId="22" fillId="0" borderId="6" xfId="8" applyNumberFormat="1" applyFont="1" applyBorder="1" applyAlignment="1">
      <alignment horizontal="center" vertical="center"/>
    </xf>
    <xf numFmtId="176" fontId="22" fillId="0" borderId="6" xfId="8" applyNumberFormat="1" applyFont="1" applyBorder="1" applyAlignment="1">
      <alignment horizontal="center" vertical="center" shrinkToFit="1"/>
    </xf>
    <xf numFmtId="41" fontId="20" fillId="0" borderId="0" xfId="9" applyNumberFormat="1" applyFont="1">
      <alignment vertical="center"/>
    </xf>
    <xf numFmtId="41" fontId="19" fillId="0" borderId="0" xfId="8" applyNumberFormat="1" applyFont="1" applyAlignment="1">
      <alignment horizontal="center" vertical="center"/>
    </xf>
    <xf numFmtId="179" fontId="19" fillId="0" borderId="0" xfId="8" applyNumberFormat="1" applyFont="1" applyAlignment="1">
      <alignment horizontal="center" vertical="center"/>
    </xf>
    <xf numFmtId="0" fontId="23" fillId="0" borderId="7" xfId="8" applyNumberFormat="1" applyFont="1" applyBorder="1" applyAlignment="1">
      <alignment horizontal="center" vertical="center"/>
    </xf>
    <xf numFmtId="179" fontId="19" fillId="0" borderId="7" xfId="8" applyNumberFormat="1" applyFont="1" applyBorder="1" applyAlignment="1">
      <alignment horizontal="right" vertical="center" wrapText="1"/>
    </xf>
    <xf numFmtId="176" fontId="19" fillId="0" borderId="8" xfId="8" applyNumberFormat="1" applyFont="1" applyBorder="1" applyAlignment="1">
      <alignment horizontal="right" vertical="center"/>
    </xf>
    <xf numFmtId="178" fontId="20" fillId="0" borderId="7" xfId="8" applyNumberFormat="1" applyFont="1" applyBorder="1" applyAlignment="1">
      <alignment horizontal="center" vertical="center" wrapText="1"/>
    </xf>
    <xf numFmtId="179" fontId="20" fillId="0" borderId="9" xfId="8" applyNumberFormat="1" applyFont="1" applyBorder="1" applyAlignment="1">
      <alignment vertical="center" shrinkToFit="1"/>
    </xf>
    <xf numFmtId="179" fontId="20" fillId="0" borderId="10" xfId="8" applyNumberFormat="1" applyFont="1" applyBorder="1" applyAlignment="1">
      <alignment vertical="center" shrinkToFit="1"/>
    </xf>
    <xf numFmtId="179" fontId="20" fillId="0" borderId="11" xfId="8" applyNumberFormat="1" applyFont="1" applyBorder="1">
      <alignment vertical="center"/>
    </xf>
    <xf numFmtId="0" fontId="20" fillId="0" borderId="0" xfId="8" applyNumberFormat="1" applyFont="1" applyAlignment="1">
      <alignment horizontal="center" vertical="center"/>
    </xf>
    <xf numFmtId="41" fontId="20" fillId="0" borderId="0" xfId="9" applyNumberFormat="1" applyFont="1" applyAlignment="1">
      <alignment horizontal="center" vertical="center"/>
    </xf>
    <xf numFmtId="179" fontId="20" fillId="0" borderId="0" xfId="8" applyNumberFormat="1" applyFont="1" applyAlignment="1">
      <alignment horizontal="center" vertical="center"/>
    </xf>
    <xf numFmtId="0" fontId="23" fillId="0" borderId="12" xfId="8" applyNumberFormat="1" applyFont="1" applyBorder="1" applyAlignment="1">
      <alignment horizontal="distributed" vertical="center"/>
    </xf>
    <xf numFmtId="0" fontId="23" fillId="0" borderId="8" xfId="8" applyNumberFormat="1" applyFont="1" applyBorder="1">
      <alignment vertical="center"/>
    </xf>
    <xf numFmtId="179" fontId="23" fillId="0" borderId="8" xfId="8" applyNumberFormat="1" applyFont="1" applyBorder="1" applyAlignment="1">
      <alignment horizontal="right" vertical="center"/>
    </xf>
    <xf numFmtId="176" fontId="23" fillId="0" borderId="8" xfId="8" applyNumberFormat="1" applyFont="1" applyBorder="1" applyAlignment="1">
      <alignment horizontal="right" vertical="center"/>
    </xf>
    <xf numFmtId="178" fontId="24" fillId="0" borderId="8" xfId="8" applyNumberFormat="1" applyFont="1" applyBorder="1" applyAlignment="1">
      <alignment horizontal="center" vertical="center" wrapText="1"/>
    </xf>
    <xf numFmtId="179" fontId="20" fillId="0" borderId="13" xfId="8" applyNumberFormat="1" applyFont="1" applyBorder="1" applyAlignment="1">
      <alignment vertical="center" shrinkToFit="1"/>
    </xf>
    <xf numFmtId="179" fontId="20" fillId="0" borderId="14" xfId="8" applyNumberFormat="1" applyFont="1" applyBorder="1" applyAlignment="1">
      <alignment vertical="center" shrinkToFit="1"/>
    </xf>
    <xf numFmtId="179" fontId="20" fillId="0" borderId="15" xfId="8" applyNumberFormat="1" applyFont="1" applyBorder="1">
      <alignment vertical="center"/>
    </xf>
    <xf numFmtId="0" fontId="24" fillId="0" borderId="0" xfId="8" applyNumberFormat="1" applyFont="1">
      <alignment vertical="center"/>
    </xf>
    <xf numFmtId="41" fontId="24" fillId="0" borderId="0" xfId="9" applyNumberFormat="1" applyFont="1">
      <alignment vertical="center"/>
    </xf>
    <xf numFmtId="0" fontId="23" fillId="0" borderId="16" xfId="8" applyNumberFormat="1" applyFont="1" applyBorder="1" applyAlignment="1">
      <alignment horizontal="distributed" vertical="center"/>
    </xf>
    <xf numFmtId="0" fontId="23" fillId="0" borderId="8" xfId="8" applyNumberFormat="1" applyFont="1" applyBorder="1" applyAlignment="1">
      <alignment horizontal="distributed" vertical="center" wrapText="1"/>
    </xf>
    <xf numFmtId="0" fontId="23" fillId="0" borderId="8" xfId="8" applyNumberFormat="1" applyFont="1" applyBorder="1" applyAlignment="1">
      <alignment horizontal="distributed" vertical="center"/>
    </xf>
    <xf numFmtId="179" fontId="23" fillId="0" borderId="8" xfId="8" applyNumberFormat="1" applyFont="1" applyBorder="1">
      <alignment vertical="center"/>
    </xf>
    <xf numFmtId="0" fontId="23" fillId="0" borderId="17" xfId="8" applyNumberFormat="1" applyFont="1" applyBorder="1" applyAlignment="1">
      <alignment horizontal="distributed" vertical="center"/>
    </xf>
    <xf numFmtId="0" fontId="23" fillId="0" borderId="18" xfId="8" applyNumberFormat="1" applyFont="1" applyBorder="1" applyAlignment="1">
      <alignment horizontal="distributed" vertical="center" wrapText="1"/>
    </xf>
    <xf numFmtId="179" fontId="24" fillId="0" borderId="13" xfId="8" applyNumberFormat="1" applyFont="1" applyBorder="1" applyAlignment="1">
      <alignment vertical="center" shrinkToFit="1"/>
    </xf>
    <xf numFmtId="179" fontId="24" fillId="0" borderId="14" xfId="8" applyNumberFormat="1" applyFont="1" applyBorder="1" applyAlignment="1">
      <alignment vertical="center" shrinkToFit="1"/>
    </xf>
    <xf numFmtId="176" fontId="24" fillId="0" borderId="14" xfId="8" applyNumberFormat="1" applyFont="1" applyBorder="1" applyAlignment="1">
      <alignment vertical="center" shrinkToFit="1"/>
    </xf>
    <xf numFmtId="0" fontId="25" fillId="0" borderId="14" xfId="8" applyNumberFormat="1" applyFont="1" applyBorder="1" applyAlignment="1">
      <alignment horizontal="center" vertical="center" shrinkToFit="1"/>
    </xf>
    <xf numFmtId="180" fontId="24" fillId="0" borderId="14" xfId="8" applyNumberFormat="1" applyFont="1" applyBorder="1" applyAlignment="1">
      <alignment vertical="center" shrinkToFit="1"/>
    </xf>
    <xf numFmtId="181" fontId="24" fillId="0" borderId="14" xfId="8" applyNumberFormat="1" applyFont="1" applyBorder="1" applyAlignment="1">
      <alignment vertical="center" shrinkToFit="1"/>
    </xf>
    <xf numFmtId="179" fontId="26" fillId="0" borderId="14" xfId="8" applyNumberFormat="1" applyFont="1" applyBorder="1" applyAlignment="1">
      <alignment vertical="center" shrinkToFit="1"/>
    </xf>
    <xf numFmtId="179" fontId="24" fillId="0" borderId="15" xfId="8" applyNumberFormat="1" applyFont="1" applyBorder="1">
      <alignment vertical="center"/>
    </xf>
    <xf numFmtId="0" fontId="23" fillId="0" borderId="19" xfId="8" applyNumberFormat="1" applyFont="1" applyBorder="1" applyAlignment="1">
      <alignment horizontal="distributed" vertical="center"/>
    </xf>
    <xf numFmtId="176" fontId="20" fillId="0" borderId="14" xfId="8" applyNumberFormat="1" applyFont="1" applyBorder="1" applyAlignment="1">
      <alignment vertical="center" shrinkToFit="1"/>
    </xf>
    <xf numFmtId="0" fontId="27" fillId="0" borderId="14" xfId="8" applyNumberFormat="1" applyFont="1" applyBorder="1" applyAlignment="1">
      <alignment horizontal="center" vertical="center" shrinkToFit="1"/>
    </xf>
    <xf numFmtId="181" fontId="20" fillId="0" borderId="14" xfId="8" applyNumberFormat="1" applyFont="1" applyBorder="1" applyAlignment="1">
      <alignment vertical="center" shrinkToFit="1"/>
    </xf>
    <xf numFmtId="182" fontId="20" fillId="0" borderId="14" xfId="8" applyNumberFormat="1" applyFont="1" applyBorder="1" applyAlignment="1">
      <alignment vertical="center" shrinkToFit="1"/>
    </xf>
    <xf numFmtId="179" fontId="28" fillId="0" borderId="14" xfId="8" applyNumberFormat="1" applyFont="1" applyBorder="1" applyAlignment="1">
      <alignment vertical="center" shrinkToFit="1"/>
    </xf>
    <xf numFmtId="182" fontId="24" fillId="0" borderId="14" xfId="8" applyNumberFormat="1" applyFont="1" applyBorder="1" applyAlignment="1">
      <alignment vertical="center" shrinkToFit="1"/>
    </xf>
    <xf numFmtId="0" fontId="23" fillId="0" borderId="8" xfId="8" applyNumberFormat="1" applyFont="1" applyBorder="1" applyAlignment="1">
      <alignment vertical="center" shrinkToFit="1"/>
    </xf>
    <xf numFmtId="0" fontId="23" fillId="0" borderId="19" xfId="8" applyNumberFormat="1" applyFont="1" applyBorder="1" applyAlignment="1">
      <alignment horizontal="distributed" vertical="center" wrapText="1"/>
    </xf>
    <xf numFmtId="13" fontId="24" fillId="0" borderId="14" xfId="8" applyNumberFormat="1" applyFont="1" applyBorder="1" applyAlignment="1">
      <alignment vertical="center" shrinkToFit="1"/>
    </xf>
    <xf numFmtId="12" fontId="24" fillId="0" borderId="14" xfId="8" applyNumberFormat="1" applyFont="1" applyBorder="1" applyAlignment="1">
      <alignment vertical="center" shrinkToFit="1"/>
    </xf>
    <xf numFmtId="0" fontId="23" fillId="0" borderId="7" xfId="8" applyNumberFormat="1" applyFont="1" applyBorder="1" applyAlignment="1">
      <alignment vertical="center" shrinkToFit="1"/>
    </xf>
    <xf numFmtId="0" fontId="23" fillId="0" borderId="7" xfId="8" applyNumberFormat="1" applyFont="1" applyBorder="1" applyAlignment="1">
      <alignment horizontal="distributed" vertical="center" wrapText="1"/>
    </xf>
    <xf numFmtId="179" fontId="23" fillId="0" borderId="7" xfId="8" applyNumberFormat="1" applyFont="1" applyBorder="1">
      <alignment vertical="center"/>
    </xf>
    <xf numFmtId="183" fontId="24" fillId="0" borderId="0" xfId="8" applyNumberFormat="1" applyFont="1">
      <alignment vertical="center"/>
    </xf>
    <xf numFmtId="41" fontId="24" fillId="0" borderId="0" xfId="8" applyNumberFormat="1" applyFont="1">
      <alignment vertical="center"/>
    </xf>
    <xf numFmtId="179" fontId="23" fillId="0" borderId="18" xfId="8" applyNumberFormat="1" applyFont="1" applyBorder="1" applyAlignment="1">
      <alignment horizontal="right" vertical="center"/>
    </xf>
    <xf numFmtId="176" fontId="23" fillId="0" borderId="18" xfId="8" applyNumberFormat="1" applyFont="1" applyBorder="1" applyAlignment="1">
      <alignment horizontal="right" vertical="center"/>
    </xf>
    <xf numFmtId="176" fontId="29" fillId="0" borderId="13" xfId="8" applyNumberFormat="1" applyFont="1" applyBorder="1" applyAlignment="1">
      <alignment vertical="center" shrinkToFit="1"/>
    </xf>
    <xf numFmtId="176" fontId="29" fillId="0" borderId="14" xfId="8" applyNumberFormat="1" applyFont="1" applyBorder="1" applyAlignment="1">
      <alignment vertical="center" shrinkToFit="1"/>
    </xf>
    <xf numFmtId="0" fontId="30" fillId="0" borderId="14" xfId="8" applyNumberFormat="1" applyFont="1" applyBorder="1" applyAlignment="1">
      <alignment horizontal="center" vertical="center" shrinkToFit="1"/>
    </xf>
    <xf numFmtId="10" fontId="29" fillId="0" borderId="14" xfId="8" applyNumberFormat="1" applyFont="1" applyBorder="1" applyAlignment="1">
      <alignment vertical="center" shrinkToFit="1"/>
    </xf>
    <xf numFmtId="12" fontId="29" fillId="0" borderId="14" xfId="8" applyNumberFormat="1" applyFont="1" applyBorder="1" applyAlignment="1">
      <alignment vertical="center" shrinkToFit="1"/>
    </xf>
    <xf numFmtId="179" fontId="31" fillId="0" borderId="14" xfId="8" applyNumberFormat="1" applyFont="1" applyBorder="1" applyAlignment="1">
      <alignment vertical="center" shrinkToFit="1"/>
    </xf>
    <xf numFmtId="179" fontId="29" fillId="0" borderId="15" xfId="8" applyNumberFormat="1" applyFont="1" applyBorder="1">
      <alignment vertical="center"/>
    </xf>
    <xf numFmtId="179" fontId="29" fillId="0" borderId="13" xfId="8" applyNumberFormat="1" applyFont="1" applyBorder="1" applyAlignment="1">
      <alignment vertical="center" shrinkToFit="1"/>
    </xf>
    <xf numFmtId="179" fontId="29" fillId="0" borderId="14" xfId="8" applyNumberFormat="1" applyFont="1" applyBorder="1" applyAlignment="1">
      <alignment vertical="center" shrinkToFit="1"/>
    </xf>
    <xf numFmtId="0" fontId="23" fillId="0" borderId="7" xfId="8" applyNumberFormat="1" applyFont="1" applyBorder="1" applyAlignment="1">
      <alignment horizontal="distributed" vertical="center"/>
    </xf>
    <xf numFmtId="184" fontId="29" fillId="0" borderId="14" xfId="8" applyNumberFormat="1" applyFont="1" applyBorder="1" applyAlignment="1">
      <alignment vertical="center" shrinkToFit="1"/>
    </xf>
    <xf numFmtId="0" fontId="23" fillId="0" borderId="18" xfId="8" applyNumberFormat="1" applyFont="1" applyBorder="1" applyAlignment="1">
      <alignment horizontal="distributed" vertical="center"/>
    </xf>
    <xf numFmtId="176" fontId="32" fillId="0" borderId="14" xfId="8" applyNumberFormat="1" applyFont="1" applyBorder="1" applyAlignment="1">
      <alignment vertical="center" shrinkToFit="1"/>
    </xf>
    <xf numFmtId="0" fontId="23" fillId="0" borderId="20" xfId="8" applyNumberFormat="1" applyFont="1" applyBorder="1" applyAlignment="1">
      <alignment horizontal="distributed" vertical="center"/>
    </xf>
    <xf numFmtId="179" fontId="32" fillId="0" borderId="14" xfId="8" applyNumberFormat="1" applyFont="1" applyBorder="1" applyAlignment="1">
      <alignment vertical="center" shrinkToFit="1"/>
    </xf>
    <xf numFmtId="185" fontId="24" fillId="0" borderId="14" xfId="8" applyNumberFormat="1" applyFont="1" applyBorder="1" applyAlignment="1">
      <alignment vertical="center" shrinkToFit="1"/>
    </xf>
    <xf numFmtId="179" fontId="23" fillId="0" borderId="18" xfId="8" applyNumberFormat="1" applyFont="1" applyBorder="1">
      <alignment vertical="center"/>
    </xf>
    <xf numFmtId="186" fontId="24" fillId="0" borderId="14" xfId="8" applyNumberFormat="1" applyFont="1" applyBorder="1" applyAlignment="1">
      <alignment vertical="center" shrinkToFit="1"/>
    </xf>
    <xf numFmtId="0" fontId="23" fillId="0" borderId="21" xfId="8" applyNumberFormat="1" applyFont="1" applyBorder="1" applyAlignment="1">
      <alignment horizontal="distributed" vertical="center"/>
    </xf>
    <xf numFmtId="179" fontId="23" fillId="0" borderId="19" xfId="8" applyNumberFormat="1" applyFont="1" applyBorder="1">
      <alignment vertical="center"/>
    </xf>
    <xf numFmtId="0" fontId="32" fillId="0" borderId="0" xfId="8" applyNumberFormat="1" applyFont="1">
      <alignment vertical="center"/>
    </xf>
    <xf numFmtId="0" fontId="23" fillId="0" borderId="22" xfId="8" applyNumberFormat="1" applyFont="1" applyBorder="1" applyAlignment="1">
      <alignment horizontal="distributed" vertical="center"/>
    </xf>
    <xf numFmtId="176" fontId="24" fillId="0" borderId="13" xfId="8" applyNumberFormat="1" applyFont="1" applyBorder="1" applyAlignment="1">
      <alignment vertical="center" shrinkToFit="1"/>
    </xf>
    <xf numFmtId="176" fontId="33" fillId="0" borderId="14" xfId="8" applyNumberFormat="1" applyFont="1" applyBorder="1" applyAlignment="1">
      <alignment vertical="center" shrinkToFit="1"/>
    </xf>
    <xf numFmtId="176" fontId="23" fillId="0" borderId="8" xfId="8" applyNumberFormat="1" applyFont="1" applyBorder="1">
      <alignment vertical="center"/>
    </xf>
    <xf numFmtId="0" fontId="23" fillId="0" borderId="23" xfId="8" applyNumberFormat="1" applyFont="1" applyBorder="1" applyAlignment="1">
      <alignment horizontal="distributed" vertical="center"/>
    </xf>
    <xf numFmtId="0" fontId="23" fillId="0" borderId="24" xfId="8" applyNumberFormat="1" applyFont="1" applyBorder="1" applyAlignment="1">
      <alignment horizontal="distributed" vertical="center"/>
    </xf>
    <xf numFmtId="0" fontId="23" fillId="0" borderId="25" xfId="8" applyNumberFormat="1" applyFont="1" applyBorder="1" applyAlignment="1">
      <alignment horizontal="distributed" vertical="center"/>
    </xf>
    <xf numFmtId="179" fontId="23" fillId="0" borderId="25" xfId="8" applyNumberFormat="1" applyFont="1" applyBorder="1">
      <alignment vertical="center"/>
    </xf>
    <xf numFmtId="176" fontId="23" fillId="0" borderId="25" xfId="8" applyNumberFormat="1" applyFont="1" applyBorder="1" applyAlignment="1">
      <alignment horizontal="right" vertical="center"/>
    </xf>
    <xf numFmtId="178" fontId="24" fillId="0" borderId="24" xfId="8" applyNumberFormat="1" applyFont="1" applyBorder="1" applyAlignment="1">
      <alignment horizontal="center" vertical="center" wrapText="1"/>
    </xf>
    <xf numFmtId="179" fontId="24" fillId="0" borderId="26" xfId="8" applyNumberFormat="1" applyFont="1" applyBorder="1" applyAlignment="1">
      <alignment vertical="center" shrinkToFit="1"/>
    </xf>
    <xf numFmtId="179" fontId="24" fillId="0" borderId="27" xfId="8" applyNumberFormat="1" applyFont="1" applyBorder="1" applyAlignment="1">
      <alignment vertical="center" shrinkToFit="1"/>
    </xf>
    <xf numFmtId="179" fontId="24" fillId="0" borderId="28" xfId="8" applyNumberFormat="1" applyFont="1" applyBorder="1">
      <alignment vertical="center"/>
    </xf>
    <xf numFmtId="0" fontId="24" fillId="0" borderId="0" xfId="8" applyNumberFormat="1" applyFont="1" applyAlignment="1">
      <alignment horizontal="distributed" vertical="center"/>
    </xf>
    <xf numFmtId="0" fontId="24" fillId="0" borderId="0" xfId="8" applyNumberFormat="1" applyFont="1" applyAlignment="1">
      <alignment horizontal="distributed" vertical="center" wrapText="1"/>
    </xf>
    <xf numFmtId="179" fontId="24" fillId="0" borderId="0" xfId="8" applyNumberFormat="1" applyFont="1">
      <alignment vertical="center"/>
    </xf>
    <xf numFmtId="176" fontId="24" fillId="0" borderId="0" xfId="8" applyNumberFormat="1" applyFont="1" applyAlignment="1">
      <alignment horizontal="right" vertical="center"/>
    </xf>
    <xf numFmtId="176" fontId="24" fillId="0" borderId="0" xfId="8" applyNumberFormat="1" applyFont="1">
      <alignment vertical="center"/>
    </xf>
    <xf numFmtId="0" fontId="24" fillId="0" borderId="0" xfId="8" applyNumberFormat="1" applyFont="1" applyAlignment="1">
      <alignment vertical="center" wrapText="1"/>
    </xf>
    <xf numFmtId="0" fontId="34" fillId="0" borderId="0" xfId="8" applyNumberFormat="1" applyFont="1">
      <alignment vertical="center"/>
    </xf>
    <xf numFmtId="179" fontId="34" fillId="0" borderId="0" xfId="8" applyNumberFormat="1" applyFont="1">
      <alignment vertical="center"/>
    </xf>
    <xf numFmtId="176" fontId="34" fillId="0" borderId="0" xfId="8" applyNumberFormat="1" applyFont="1">
      <alignment vertical="center"/>
    </xf>
    <xf numFmtId="41" fontId="34" fillId="0" borderId="0" xfId="9" applyNumberFormat="1" applyFont="1">
      <alignment vertical="center"/>
    </xf>
    <xf numFmtId="0" fontId="35" fillId="0" borderId="0" xfId="8" applyNumberFormat="1" applyFont="1">
      <alignment vertical="center"/>
    </xf>
    <xf numFmtId="176" fontId="20" fillId="0" borderId="0" xfId="8" applyNumberFormat="1" applyFont="1">
      <alignment vertical="center"/>
    </xf>
    <xf numFmtId="0" fontId="17" fillId="0" borderId="0" xfId="8" applyNumberFormat="1" applyFont="1" applyAlignment="1">
      <alignment vertical="center" shrinkToFit="1"/>
    </xf>
    <xf numFmtId="38" fontId="17" fillId="0" borderId="0" xfId="8" applyNumberFormat="1" applyFont="1" applyAlignment="1">
      <alignment vertical="center" shrinkToFit="1"/>
    </xf>
    <xf numFmtId="0" fontId="21" fillId="0" borderId="0" xfId="8" applyNumberFormat="1" applyFont="1" applyAlignment="1">
      <alignment vertical="center" shrinkToFit="1"/>
    </xf>
    <xf numFmtId="38" fontId="21" fillId="0" borderId="0" xfId="8" applyNumberFormat="1" applyFont="1" applyAlignment="1">
      <alignment vertical="center" shrinkToFit="1"/>
    </xf>
    <xf numFmtId="0" fontId="21" fillId="0" borderId="0" xfId="8" applyNumberFormat="1" applyFont="1" applyAlignment="1">
      <alignment horizontal="center" vertical="center" shrinkToFit="1"/>
    </xf>
    <xf numFmtId="38" fontId="21" fillId="0" borderId="0" xfId="8" applyNumberFormat="1" applyFont="1" applyAlignment="1">
      <alignment horizontal="center" vertical="center" shrinkToFit="1"/>
    </xf>
    <xf numFmtId="0" fontId="21" fillId="0" borderId="0" xfId="8" applyNumberFormat="1" applyFont="1" applyAlignment="1">
      <alignment horizontal="center" vertical="center"/>
    </xf>
    <xf numFmtId="176" fontId="19" fillId="0" borderId="6" xfId="8" applyNumberFormat="1" applyFont="1" applyBorder="1" applyAlignment="1">
      <alignment horizontal="center" vertical="center"/>
    </xf>
    <xf numFmtId="176" fontId="19" fillId="0" borderId="6" xfId="8" applyNumberFormat="1" applyFont="1" applyBorder="1" applyAlignment="1">
      <alignment horizontal="center" vertical="center" shrinkToFit="1"/>
    </xf>
    <xf numFmtId="179" fontId="21" fillId="0" borderId="0" xfId="8" applyNumberFormat="1" applyFont="1" applyAlignment="1">
      <alignment horizontal="center" vertical="center"/>
    </xf>
    <xf numFmtId="0" fontId="32" fillId="0" borderId="7" xfId="8" applyNumberFormat="1" applyFont="1" applyBorder="1" applyAlignment="1">
      <alignment horizontal="center" vertical="center"/>
    </xf>
    <xf numFmtId="179" fontId="19" fillId="0" borderId="7" xfId="8" applyNumberFormat="1" applyFont="1" applyBorder="1" applyAlignment="1">
      <alignment horizontal="right" vertical="center" shrinkToFit="1"/>
    </xf>
    <xf numFmtId="176" fontId="19" fillId="0" borderId="7" xfId="8" applyNumberFormat="1" applyFont="1" applyBorder="1" applyAlignment="1">
      <alignment horizontal="right" vertical="center" shrinkToFit="1"/>
    </xf>
    <xf numFmtId="178" fontId="20" fillId="0" borderId="7" xfId="8" applyNumberFormat="1" applyFont="1" applyBorder="1" applyAlignment="1">
      <alignment horizontal="right" vertical="center" shrinkToFit="1"/>
    </xf>
    <xf numFmtId="179" fontId="21" fillId="0" borderId="0" xfId="8" applyNumberFormat="1" applyFont="1" applyAlignment="1">
      <alignment horizontal="center" vertical="center" shrinkToFit="1"/>
    </xf>
    <xf numFmtId="38" fontId="21" fillId="0" borderId="0" xfId="8" applyNumberFormat="1" applyFont="1" applyAlignment="1">
      <alignment horizontal="center" vertical="center"/>
    </xf>
    <xf numFmtId="41" fontId="21" fillId="0" borderId="0" xfId="9" applyNumberFormat="1" applyFont="1" applyAlignment="1">
      <alignment horizontal="center" vertical="center"/>
    </xf>
    <xf numFmtId="0" fontId="32" fillId="0" borderId="12" xfId="8" applyNumberFormat="1" applyFont="1" applyBorder="1" applyAlignment="1">
      <alignment horizontal="distributed" vertical="center"/>
    </xf>
    <xf numFmtId="0" fontId="32" fillId="0" borderId="13" xfId="8" applyNumberFormat="1" applyFont="1" applyBorder="1" applyAlignment="1">
      <alignment horizontal="distributed" vertical="center"/>
    </xf>
    <xf numFmtId="0" fontId="32" fillId="0" borderId="29" xfId="8" applyNumberFormat="1" applyFont="1" applyBorder="1" applyAlignment="1">
      <alignment horizontal="distributed" vertical="center"/>
    </xf>
    <xf numFmtId="0" fontId="32" fillId="0" borderId="8" xfId="8" applyNumberFormat="1" applyFont="1" applyBorder="1" applyAlignment="1">
      <alignment horizontal="distributed" vertical="center"/>
    </xf>
    <xf numFmtId="179" fontId="23" fillId="0" borderId="8" xfId="8" applyNumberFormat="1" applyFont="1" applyBorder="1" applyAlignment="1">
      <alignment horizontal="right" vertical="center" shrinkToFit="1"/>
    </xf>
    <xf numFmtId="176" fontId="23" fillId="0" borderId="8" xfId="8" applyNumberFormat="1" applyFont="1" applyBorder="1" applyAlignment="1">
      <alignment vertical="center" shrinkToFit="1"/>
    </xf>
    <xf numFmtId="178" fontId="24" fillId="0" borderId="8" xfId="8" applyNumberFormat="1" applyFont="1" applyBorder="1" applyAlignment="1">
      <alignment horizontal="right" vertical="center" shrinkToFit="1"/>
    </xf>
    <xf numFmtId="0" fontId="35" fillId="0" borderId="0" xfId="8" applyNumberFormat="1" applyFont="1" applyAlignment="1">
      <alignment vertical="center" shrinkToFit="1"/>
    </xf>
    <xf numFmtId="38" fontId="35" fillId="0" borderId="0" xfId="8" applyNumberFormat="1" applyFont="1" applyAlignment="1">
      <alignment vertical="center" shrinkToFit="1"/>
    </xf>
    <xf numFmtId="38" fontId="35" fillId="6" borderId="0" xfId="8" applyNumberFormat="1" applyFont="1" applyFill="1" applyAlignment="1">
      <alignment vertical="center" shrinkToFit="1"/>
    </xf>
    <xf numFmtId="38" fontId="35" fillId="0" borderId="0" xfId="8" applyNumberFormat="1" applyFont="1">
      <alignment vertical="center"/>
    </xf>
    <xf numFmtId="0" fontId="32" fillId="0" borderId="16" xfId="8" applyNumberFormat="1" applyFont="1" applyBorder="1" applyAlignment="1">
      <alignment horizontal="distributed" vertical="center"/>
    </xf>
    <xf numFmtId="179" fontId="23" fillId="0" borderId="8" xfId="8" applyNumberFormat="1" applyFont="1" applyBorder="1" applyAlignment="1">
      <alignment vertical="center" shrinkToFit="1"/>
    </xf>
    <xf numFmtId="179" fontId="35" fillId="0" borderId="0" xfId="8" applyNumberFormat="1" applyFont="1">
      <alignment vertical="center"/>
    </xf>
    <xf numFmtId="0" fontId="32" fillId="0" borderId="17" xfId="8" applyNumberFormat="1" applyFont="1" applyBorder="1" applyAlignment="1">
      <alignment horizontal="distributed" vertical="center"/>
    </xf>
    <xf numFmtId="0" fontId="32" fillId="0" borderId="18" xfId="8" applyNumberFormat="1" applyFont="1" applyBorder="1" applyAlignment="1">
      <alignment horizontal="distributed" vertical="center"/>
    </xf>
    <xf numFmtId="38" fontId="35" fillId="7" borderId="0" xfId="8" applyNumberFormat="1" applyFont="1" applyFill="1" applyAlignment="1">
      <alignment vertical="center" shrinkToFit="1"/>
    </xf>
    <xf numFmtId="0" fontId="32" fillId="0" borderId="19" xfId="8" applyNumberFormat="1" applyFont="1" applyBorder="1" applyAlignment="1">
      <alignment horizontal="distributed" vertical="center"/>
    </xf>
    <xf numFmtId="38" fontId="35" fillId="8" borderId="0" xfId="8" applyNumberFormat="1" applyFont="1" applyFill="1" applyAlignment="1">
      <alignment vertical="center" shrinkToFit="1"/>
    </xf>
    <xf numFmtId="38" fontId="35" fillId="9" borderId="0" xfId="8" applyNumberFormat="1" applyFont="1" applyFill="1" applyAlignment="1">
      <alignment vertical="center" shrinkToFit="1"/>
    </xf>
    <xf numFmtId="10" fontId="24" fillId="0" borderId="14" xfId="8" applyNumberFormat="1" applyFont="1" applyBorder="1" applyAlignment="1">
      <alignment vertical="center" shrinkToFit="1"/>
    </xf>
    <xf numFmtId="38" fontId="35" fillId="10" borderId="0" xfId="8" applyNumberFormat="1" applyFont="1" applyFill="1" applyAlignment="1">
      <alignment vertical="center" shrinkToFit="1"/>
    </xf>
    <xf numFmtId="0" fontId="24" fillId="0" borderId="8" xfId="8" applyNumberFormat="1" applyFont="1" applyBorder="1" applyAlignment="1">
      <alignment horizontal="distributed" vertical="center"/>
    </xf>
    <xf numFmtId="0" fontId="33" fillId="0" borderId="8" xfId="8" applyNumberFormat="1" applyFont="1" applyBorder="1" applyAlignment="1">
      <alignment horizontal="distributed" vertical="center"/>
    </xf>
    <xf numFmtId="179" fontId="32" fillId="0" borderId="13" xfId="8" applyNumberFormat="1" applyFont="1" applyBorder="1" applyAlignment="1">
      <alignment vertical="center" shrinkToFit="1"/>
    </xf>
    <xf numFmtId="0" fontId="32" fillId="0" borderId="7" xfId="8" applyNumberFormat="1" applyFont="1" applyBorder="1" applyAlignment="1">
      <alignment horizontal="distributed" vertical="center"/>
    </xf>
    <xf numFmtId="0" fontId="32" fillId="0" borderId="8" xfId="8" applyNumberFormat="1" applyFont="1" applyBorder="1" applyAlignment="1">
      <alignment horizontal="distributed" vertical="center" wrapText="1" shrinkToFit="1"/>
    </xf>
    <xf numFmtId="0" fontId="33" fillId="0" borderId="8" xfId="8" applyNumberFormat="1" applyFont="1" applyBorder="1" applyAlignment="1">
      <alignment horizontal="distributed" vertical="center" shrinkToFit="1"/>
    </xf>
    <xf numFmtId="0" fontId="32" fillId="0" borderId="8" xfId="8" applyNumberFormat="1" applyFont="1" applyBorder="1" applyAlignment="1">
      <alignment horizontal="distributed" vertical="center" shrinkToFit="1"/>
    </xf>
    <xf numFmtId="0" fontId="32" fillId="0" borderId="18" xfId="8" applyNumberFormat="1" applyFont="1" applyBorder="1" applyAlignment="1">
      <alignment horizontal="distributed" vertical="center" shrinkToFit="1"/>
    </xf>
    <xf numFmtId="0" fontId="24" fillId="0" borderId="18" xfId="8" applyNumberFormat="1" applyFont="1" applyBorder="1" applyAlignment="1">
      <alignment horizontal="distributed" vertical="center" shrinkToFit="1"/>
    </xf>
    <xf numFmtId="179" fontId="23" fillId="0" borderId="18" xfId="8" applyNumberFormat="1" applyFont="1" applyBorder="1" applyAlignment="1">
      <alignment horizontal="right" vertical="center" shrinkToFit="1"/>
    </xf>
    <xf numFmtId="0" fontId="32" fillId="0" borderId="19" xfId="8" applyNumberFormat="1" applyFont="1" applyBorder="1" applyAlignment="1">
      <alignment horizontal="distributed" vertical="center" shrinkToFit="1"/>
    </xf>
    <xf numFmtId="0" fontId="24" fillId="0" borderId="8" xfId="8" applyNumberFormat="1" applyFont="1" applyBorder="1" applyAlignment="1">
      <alignment horizontal="distributed" vertical="center" shrinkToFit="1"/>
    </xf>
    <xf numFmtId="0" fontId="32" fillId="0" borderId="7" xfId="8" applyNumberFormat="1" applyFont="1" applyBorder="1" applyAlignment="1">
      <alignment horizontal="distributed" vertical="center" shrinkToFit="1"/>
    </xf>
    <xf numFmtId="38" fontId="35" fillId="11" borderId="0" xfId="8" applyNumberFormat="1" applyFont="1" applyFill="1" applyAlignment="1">
      <alignment vertical="center" shrinkToFit="1"/>
    </xf>
    <xf numFmtId="0" fontId="32" fillId="0" borderId="8" xfId="8" applyNumberFormat="1" applyFont="1" applyBorder="1" applyAlignment="1">
      <alignment horizontal="distributed" vertical="center" wrapText="1"/>
    </xf>
    <xf numFmtId="0" fontId="32" fillId="0" borderId="20" xfId="8" applyNumberFormat="1" applyFont="1" applyBorder="1" applyAlignment="1">
      <alignment horizontal="distributed" vertical="center"/>
    </xf>
    <xf numFmtId="0" fontId="24" fillId="0" borderId="12" xfId="8" applyNumberFormat="1" applyFont="1" applyBorder="1" applyAlignment="1">
      <alignment horizontal="distributed" vertical="center"/>
    </xf>
    <xf numFmtId="0" fontId="24" fillId="0" borderId="16" xfId="8" applyNumberFormat="1" applyFont="1" applyBorder="1" applyAlignment="1">
      <alignment horizontal="distributed" vertical="center"/>
    </xf>
    <xf numFmtId="179" fontId="23" fillId="0" borderId="18" xfId="8" applyNumberFormat="1" applyFont="1" applyBorder="1" applyAlignment="1">
      <alignment vertical="center" shrinkToFit="1"/>
    </xf>
    <xf numFmtId="0" fontId="32" fillId="0" borderId="23" xfId="8" applyNumberFormat="1" applyFont="1" applyBorder="1" applyAlignment="1">
      <alignment horizontal="distributed" vertical="center"/>
    </xf>
    <xf numFmtId="0" fontId="32" fillId="0" borderId="24" xfId="8" applyNumberFormat="1" applyFont="1" applyBorder="1" applyAlignment="1">
      <alignment horizontal="distributed" vertical="center"/>
    </xf>
    <xf numFmtId="0" fontId="32" fillId="0" borderId="25" xfId="8" applyNumberFormat="1" applyFont="1" applyBorder="1" applyAlignment="1">
      <alignment horizontal="distributed" vertical="center"/>
    </xf>
    <xf numFmtId="0" fontId="33" fillId="0" borderId="25" xfId="8" applyNumberFormat="1" applyFont="1" applyBorder="1" applyAlignment="1">
      <alignment horizontal="distributed" vertical="center"/>
    </xf>
    <xf numFmtId="179" fontId="23" fillId="0" borderId="25" xfId="8" applyNumberFormat="1" applyFont="1" applyBorder="1" applyAlignment="1">
      <alignment vertical="center" shrinkToFit="1"/>
    </xf>
    <xf numFmtId="176" fontId="23" fillId="0" borderId="25" xfId="8" applyNumberFormat="1" applyFont="1" applyBorder="1" applyAlignment="1">
      <alignment vertical="center" shrinkToFit="1"/>
    </xf>
    <xf numFmtId="0" fontId="32" fillId="0" borderId="22" xfId="8" applyNumberFormat="1" applyFont="1" applyBorder="1" applyAlignment="1">
      <alignment horizontal="distributed" vertical="center"/>
    </xf>
    <xf numFmtId="0" fontId="32" fillId="0" borderId="30" xfId="8" applyNumberFormat="1" applyFont="1" applyBorder="1" applyAlignment="1">
      <alignment horizontal="distributed" vertical="center"/>
    </xf>
    <xf numFmtId="0" fontId="33" fillId="0" borderId="7" xfId="8" applyNumberFormat="1" applyFont="1" applyBorder="1" applyAlignment="1">
      <alignment horizontal="distributed" vertical="center"/>
    </xf>
    <xf numFmtId="179" fontId="23" fillId="0" borderId="7" xfId="8" applyNumberFormat="1" applyFont="1" applyBorder="1" applyAlignment="1">
      <alignment vertical="center" shrinkToFit="1"/>
    </xf>
    <xf numFmtId="176" fontId="23" fillId="0" borderId="7" xfId="8" applyNumberFormat="1" applyFont="1" applyBorder="1" applyAlignment="1">
      <alignment vertical="center" shrinkToFit="1"/>
    </xf>
    <xf numFmtId="0" fontId="24" fillId="0" borderId="7" xfId="8" applyNumberFormat="1" applyFont="1" applyBorder="1" applyAlignment="1">
      <alignment horizontal="distributed" vertical="center"/>
    </xf>
    <xf numFmtId="179" fontId="23" fillId="0" borderId="7" xfId="8" applyNumberFormat="1" applyFont="1" applyBorder="1" applyAlignment="1">
      <alignment horizontal="right" vertical="center" shrinkToFit="1"/>
    </xf>
    <xf numFmtId="0" fontId="24" fillId="0" borderId="17" xfId="8" applyNumberFormat="1" applyFont="1" applyBorder="1" applyAlignment="1">
      <alignment horizontal="distributed" vertical="center"/>
    </xf>
    <xf numFmtId="41" fontId="35" fillId="0" borderId="0" xfId="9" applyNumberFormat="1" applyFont="1">
      <alignment vertical="center"/>
    </xf>
    <xf numFmtId="0" fontId="24" fillId="0" borderId="0" xfId="8" applyNumberFormat="1" applyFont="1" applyAlignment="1">
      <alignment vertical="center" shrinkToFit="1"/>
    </xf>
    <xf numFmtId="38" fontId="24" fillId="11" borderId="0" xfId="8" applyNumberFormat="1" applyFont="1" applyFill="1" applyAlignment="1">
      <alignment vertical="center" shrinkToFit="1"/>
    </xf>
    <xf numFmtId="38" fontId="24" fillId="6" borderId="0" xfId="8" applyNumberFormat="1" applyFont="1" applyFill="1" applyAlignment="1">
      <alignment vertical="center" shrinkToFit="1"/>
    </xf>
    <xf numFmtId="38" fontId="24" fillId="0" borderId="0" xfId="8" applyNumberFormat="1" applyFont="1" applyAlignment="1">
      <alignment vertical="center" shrinkToFit="1"/>
    </xf>
    <xf numFmtId="38" fontId="24" fillId="10" borderId="0" xfId="8" applyNumberFormat="1" applyFont="1" applyFill="1" applyAlignment="1">
      <alignment vertical="center" shrinkToFit="1"/>
    </xf>
    <xf numFmtId="0" fontId="34" fillId="0" borderId="8" xfId="8" applyNumberFormat="1" applyFont="1" applyBorder="1" applyAlignment="1">
      <alignment horizontal="distributed" vertical="center"/>
    </xf>
    <xf numFmtId="179" fontId="32" fillId="0" borderId="25" xfId="8" applyNumberFormat="1" applyFont="1" applyBorder="1" applyAlignment="1">
      <alignment vertical="center" shrinkToFit="1"/>
    </xf>
    <xf numFmtId="176" fontId="24" fillId="0" borderId="25" xfId="8" applyNumberFormat="1" applyFont="1" applyBorder="1" applyAlignment="1">
      <alignment vertical="center" shrinkToFit="1"/>
    </xf>
    <xf numFmtId="176" fontId="32" fillId="0" borderId="0" xfId="8" applyNumberFormat="1" applyFont="1" applyAlignment="1">
      <alignment vertical="center" shrinkToFit="1"/>
    </xf>
    <xf numFmtId="38" fontId="32" fillId="11" borderId="0" xfId="8" applyNumberFormat="1" applyFont="1" applyFill="1" applyAlignment="1">
      <alignment vertical="center" shrinkToFit="1"/>
    </xf>
    <xf numFmtId="38" fontId="32" fillId="6" borderId="0" xfId="8" applyNumberFormat="1" applyFont="1" applyFill="1" applyAlignment="1">
      <alignment vertical="center" shrinkToFit="1"/>
    </xf>
    <xf numFmtId="38" fontId="24" fillId="9" borderId="0" xfId="8" applyNumberFormat="1" applyFont="1" applyFill="1" applyAlignment="1">
      <alignment vertical="center" shrinkToFit="1"/>
    </xf>
    <xf numFmtId="0" fontId="32" fillId="0" borderId="7" xfId="8" applyNumberFormat="1" applyFont="1" applyBorder="1" applyAlignment="1">
      <alignment horizontal="distributed" vertical="center" wrapText="1"/>
    </xf>
    <xf numFmtId="179" fontId="32" fillId="0" borderId="8" xfId="8" applyNumberFormat="1" applyFont="1" applyBorder="1" applyAlignment="1">
      <alignment vertical="center" shrinkToFit="1"/>
    </xf>
    <xf numFmtId="176" fontId="24" fillId="0" borderId="8" xfId="8" applyNumberFormat="1" applyFont="1" applyBorder="1" applyAlignment="1">
      <alignment vertical="center" shrinkToFit="1"/>
    </xf>
    <xf numFmtId="0" fontId="24" fillId="0" borderId="8" xfId="8" applyNumberFormat="1" applyFont="1" applyBorder="1" applyAlignment="1">
      <alignment horizontal="distributed" vertical="center" wrapText="1"/>
    </xf>
    <xf numFmtId="0" fontId="24" fillId="0" borderId="18" xfId="8" applyNumberFormat="1" applyFont="1" applyBorder="1" applyAlignment="1">
      <alignment horizontal="distributed" vertical="center" wrapText="1"/>
    </xf>
    <xf numFmtId="179" fontId="32" fillId="0" borderId="18" xfId="8" applyNumberFormat="1" applyFont="1" applyBorder="1" applyAlignment="1">
      <alignment vertical="center" shrinkToFit="1"/>
    </xf>
    <xf numFmtId="0" fontId="32" fillId="0" borderId="25" xfId="8" applyNumberFormat="1" applyFont="1" applyBorder="1" applyAlignment="1">
      <alignment horizontal="distributed" vertical="center" wrapText="1"/>
    </xf>
    <xf numFmtId="0" fontId="24" fillId="0" borderId="25" xfId="8" applyNumberFormat="1" applyFont="1" applyBorder="1" applyAlignment="1">
      <alignment horizontal="distributed" vertical="center" wrapText="1"/>
    </xf>
    <xf numFmtId="178" fontId="24" fillId="0" borderId="25" xfId="8" applyNumberFormat="1" applyFont="1" applyBorder="1" applyAlignment="1">
      <alignment horizontal="right" vertical="center" shrinkToFit="1"/>
    </xf>
    <xf numFmtId="0" fontId="24" fillId="0" borderId="0" xfId="8" applyNumberFormat="1" applyFont="1" applyAlignment="1">
      <alignment horizontal="center" vertical="center"/>
    </xf>
    <xf numFmtId="176" fontId="19" fillId="0" borderId="0" xfId="8" applyNumberFormat="1" applyFont="1">
      <alignment vertical="center"/>
    </xf>
    <xf numFmtId="176" fontId="19" fillId="0" borderId="7" xfId="8" applyNumberFormat="1" applyFont="1" applyBorder="1" applyAlignment="1">
      <alignment horizontal="right" vertical="center" wrapText="1"/>
    </xf>
    <xf numFmtId="178" fontId="19" fillId="0" borderId="8" xfId="8" applyNumberFormat="1" applyFont="1" applyBorder="1" applyAlignment="1">
      <alignment horizontal="right" vertical="center"/>
    </xf>
    <xf numFmtId="179" fontId="20" fillId="0" borderId="9" xfId="8" applyNumberFormat="1" applyFont="1" applyBorder="1" applyAlignment="1">
      <alignment vertical="center" wrapText="1"/>
    </xf>
    <xf numFmtId="179" fontId="20" fillId="0" borderId="10" xfId="8" applyNumberFormat="1" applyFont="1" applyBorder="1">
      <alignment vertical="center"/>
    </xf>
    <xf numFmtId="178" fontId="23" fillId="0" borderId="8" xfId="8" applyNumberFormat="1" applyFont="1" applyBorder="1" applyAlignment="1">
      <alignment horizontal="right" vertical="center"/>
    </xf>
    <xf numFmtId="179" fontId="20" fillId="0" borderId="13" xfId="8" applyNumberFormat="1" applyFont="1" applyBorder="1" applyAlignment="1">
      <alignment vertical="center" wrapText="1"/>
    </xf>
    <xf numFmtId="179" fontId="20" fillId="0" borderId="14" xfId="8" applyNumberFormat="1" applyFont="1" applyBorder="1">
      <alignment vertical="center"/>
    </xf>
    <xf numFmtId="179" fontId="24" fillId="0" borderId="13" xfId="8" applyNumberFormat="1" applyFont="1" applyBorder="1" applyAlignment="1">
      <alignment vertical="center" wrapText="1"/>
    </xf>
    <xf numFmtId="179" fontId="24" fillId="0" borderId="14" xfId="8" applyNumberFormat="1" applyFont="1" applyBorder="1">
      <alignment vertical="center"/>
    </xf>
    <xf numFmtId="176" fontId="24" fillId="0" borderId="14" xfId="8" applyNumberFormat="1" applyFont="1" applyBorder="1" applyAlignment="1">
      <alignment vertical="center" wrapText="1"/>
    </xf>
    <xf numFmtId="0" fontId="25" fillId="0" borderId="14" xfId="8" applyNumberFormat="1" applyFont="1" applyBorder="1" applyAlignment="1">
      <alignment horizontal="center" vertical="center"/>
    </xf>
    <xf numFmtId="180" fontId="24" fillId="0" borderId="14" xfId="8" applyNumberFormat="1" applyFont="1" applyBorder="1" applyAlignment="1">
      <alignment vertical="center" wrapText="1"/>
    </xf>
    <xf numFmtId="181" fontId="24" fillId="0" borderId="14" xfId="8" applyNumberFormat="1" applyFont="1" applyBorder="1" applyAlignment="1">
      <alignment vertical="center" wrapText="1"/>
    </xf>
    <xf numFmtId="179" fontId="26" fillId="0" borderId="14" xfId="8" applyNumberFormat="1" applyFont="1" applyBorder="1">
      <alignment vertical="center"/>
    </xf>
    <xf numFmtId="10" fontId="24" fillId="0" borderId="14" xfId="8" applyNumberFormat="1" applyFont="1" applyBorder="1" applyAlignment="1">
      <alignment vertical="center" wrapText="1"/>
    </xf>
    <xf numFmtId="12" fontId="24" fillId="0" borderId="14" xfId="8" applyNumberFormat="1" applyFont="1" applyBorder="1" applyAlignment="1">
      <alignment vertical="center" wrapText="1"/>
    </xf>
    <xf numFmtId="0" fontId="32" fillId="0" borderId="19" xfId="8" applyNumberFormat="1" applyFont="1" applyBorder="1" applyAlignment="1">
      <alignment horizontal="distributed" vertical="center" wrapText="1"/>
    </xf>
    <xf numFmtId="179" fontId="32" fillId="0" borderId="13" xfId="8" applyNumberFormat="1" applyFont="1" applyBorder="1" applyAlignment="1">
      <alignment vertical="center" wrapText="1"/>
    </xf>
    <xf numFmtId="179" fontId="32" fillId="0" borderId="14" xfId="8" applyNumberFormat="1" applyFont="1" applyBorder="1" applyAlignment="1">
      <alignment vertical="center" wrapText="1"/>
    </xf>
    <xf numFmtId="0" fontId="32" fillId="0" borderId="18" xfId="8" applyNumberFormat="1" applyFont="1" applyBorder="1" applyAlignment="1">
      <alignment horizontal="distributed" vertical="center" wrapText="1"/>
    </xf>
    <xf numFmtId="176" fontId="29" fillId="0" borderId="13" xfId="8" applyNumberFormat="1" applyFont="1" applyBorder="1" applyAlignment="1">
      <alignment vertical="center" wrapText="1"/>
    </xf>
    <xf numFmtId="176" fontId="29" fillId="0" borderId="14" xfId="8" applyNumberFormat="1" applyFont="1" applyBorder="1" applyAlignment="1">
      <alignment vertical="center" wrapText="1"/>
    </xf>
    <xf numFmtId="0" fontId="30" fillId="0" borderId="14" xfId="8" applyNumberFormat="1" applyFont="1" applyBorder="1" applyAlignment="1">
      <alignment horizontal="center" vertical="center"/>
    </xf>
    <xf numFmtId="10" fontId="29" fillId="0" borderId="14" xfId="8" applyNumberFormat="1" applyFont="1" applyBorder="1" applyAlignment="1">
      <alignment vertical="center" wrapText="1"/>
    </xf>
    <xf numFmtId="12" fontId="29" fillId="0" borderId="14" xfId="8" applyNumberFormat="1" applyFont="1" applyBorder="1" applyAlignment="1">
      <alignment vertical="center" wrapText="1"/>
    </xf>
    <xf numFmtId="179" fontId="31" fillId="0" borderId="14" xfId="8" applyNumberFormat="1" applyFont="1" applyBorder="1">
      <alignment vertical="center"/>
    </xf>
    <xf numFmtId="179" fontId="29" fillId="0" borderId="13" xfId="8" applyNumberFormat="1" applyFont="1" applyBorder="1" applyAlignment="1">
      <alignment vertical="center" wrapText="1"/>
    </xf>
    <xf numFmtId="179" fontId="29" fillId="0" borderId="14" xfId="8" applyNumberFormat="1" applyFont="1" applyBorder="1">
      <alignment vertical="center"/>
    </xf>
    <xf numFmtId="176" fontId="29" fillId="0" borderId="14" xfId="8" applyNumberFormat="1" applyFont="1" applyBorder="1">
      <alignment vertical="center"/>
    </xf>
    <xf numFmtId="184" fontId="29" fillId="0" borderId="14" xfId="8" applyNumberFormat="1" applyFont="1" applyBorder="1" applyAlignment="1">
      <alignment vertical="center" wrapText="1"/>
    </xf>
    <xf numFmtId="176" fontId="32" fillId="0" borderId="14" xfId="8" applyNumberFormat="1" applyFont="1" applyBorder="1">
      <alignment vertical="center"/>
    </xf>
    <xf numFmtId="179" fontId="32" fillId="0" borderId="14" xfId="8" applyNumberFormat="1" applyFont="1" applyBorder="1">
      <alignment vertical="center"/>
    </xf>
    <xf numFmtId="0" fontId="32" fillId="0" borderId="12" xfId="8" applyNumberFormat="1" applyFont="1" applyBorder="1" applyAlignment="1">
      <alignment horizontal="distributed" vertical="center" wrapText="1"/>
    </xf>
    <xf numFmtId="179" fontId="24" fillId="0" borderId="14" xfId="8" applyNumberFormat="1" applyFont="1" applyBorder="1" applyAlignment="1">
      <alignment vertical="center" wrapText="1" shrinkToFit="1"/>
    </xf>
    <xf numFmtId="185" fontId="24" fillId="0" borderId="14" xfId="8" applyNumberFormat="1" applyFont="1" applyBorder="1" applyAlignment="1">
      <alignment vertical="center" wrapText="1"/>
    </xf>
    <xf numFmtId="176" fontId="23" fillId="0" borderId="7" xfId="8" applyNumberFormat="1" applyFont="1" applyBorder="1">
      <alignment vertical="center"/>
    </xf>
    <xf numFmtId="179" fontId="23" fillId="0" borderId="7" xfId="8" applyNumberFormat="1" applyFont="1" applyBorder="1" applyAlignment="1">
      <alignment horizontal="right" vertical="center"/>
    </xf>
    <xf numFmtId="186" fontId="24" fillId="0" borderId="14" xfId="8" applyNumberFormat="1" applyFont="1" applyBorder="1" applyAlignment="1">
      <alignment vertical="center" wrapText="1"/>
    </xf>
    <xf numFmtId="176" fontId="24" fillId="0" borderId="13" xfId="8" applyNumberFormat="1" applyFont="1" applyBorder="1" applyAlignment="1">
      <alignment vertical="center" wrapText="1"/>
    </xf>
    <xf numFmtId="176" fontId="24" fillId="0" borderId="14" xfId="8" applyNumberFormat="1" applyFont="1" applyBorder="1">
      <alignment vertical="center"/>
    </xf>
    <xf numFmtId="0" fontId="32" fillId="0" borderId="18" xfId="8" applyNumberFormat="1" applyFont="1" applyBorder="1">
      <alignment vertical="center"/>
    </xf>
    <xf numFmtId="0" fontId="32" fillId="0" borderId="8" xfId="8" applyNumberFormat="1" applyFont="1" applyBorder="1" applyAlignment="1">
      <alignment horizontal="fill" vertical="center" wrapText="1"/>
    </xf>
    <xf numFmtId="176" fontId="33" fillId="0" borderId="14" xfId="8" applyNumberFormat="1" applyFont="1" applyBorder="1">
      <alignment vertical="center"/>
    </xf>
    <xf numFmtId="0" fontId="24" fillId="0" borderId="13" xfId="8" applyNumberFormat="1" applyFont="1" applyBorder="1" applyAlignment="1">
      <alignment vertical="center" wrapText="1"/>
    </xf>
    <xf numFmtId="0" fontId="24" fillId="0" borderId="14" xfId="8" applyNumberFormat="1" applyFont="1" applyBorder="1">
      <alignment vertical="center"/>
    </xf>
    <xf numFmtId="0" fontId="32" fillId="0" borderId="29" xfId="8" applyNumberFormat="1" applyFont="1" applyBorder="1" applyAlignment="1">
      <alignment horizontal="distributed" vertical="center" wrapText="1"/>
    </xf>
    <xf numFmtId="0" fontId="32" fillId="0" borderId="31" xfId="8" applyNumberFormat="1" applyFont="1" applyBorder="1" applyAlignment="1">
      <alignment horizontal="distributed" vertical="center"/>
    </xf>
    <xf numFmtId="176" fontId="23" fillId="0" borderId="25" xfId="8" applyNumberFormat="1" applyFont="1" applyBorder="1">
      <alignment vertical="center"/>
    </xf>
    <xf numFmtId="178" fontId="23" fillId="0" borderId="25" xfId="8" applyNumberFormat="1" applyFont="1" applyBorder="1" applyAlignment="1">
      <alignment horizontal="right" vertical="center"/>
    </xf>
    <xf numFmtId="179" fontId="24" fillId="0" borderId="26" xfId="8" applyNumberFormat="1" applyFont="1" applyBorder="1" applyAlignment="1">
      <alignment vertical="center" wrapText="1"/>
    </xf>
    <xf numFmtId="179" fontId="24" fillId="0" borderId="27" xfId="8" applyNumberFormat="1" applyFont="1" applyBorder="1">
      <alignment vertical="center"/>
    </xf>
    <xf numFmtId="178" fontId="23" fillId="0" borderId="7" xfId="8" applyNumberFormat="1" applyFont="1" applyBorder="1" applyAlignment="1">
      <alignment horizontal="right" vertical="center"/>
    </xf>
    <xf numFmtId="179" fontId="24" fillId="0" borderId="22" xfId="8" applyNumberFormat="1" applyFont="1" applyBorder="1" applyAlignment="1">
      <alignment vertical="center" wrapText="1"/>
    </xf>
    <xf numFmtId="179" fontId="24" fillId="0" borderId="32" xfId="8" applyNumberFormat="1" applyFont="1" applyBorder="1">
      <alignment vertical="center"/>
    </xf>
    <xf numFmtId="179" fontId="24" fillId="0" borderId="33" xfId="8" applyNumberFormat="1" applyFont="1" applyBorder="1">
      <alignment vertical="center"/>
    </xf>
    <xf numFmtId="176" fontId="23" fillId="0" borderId="0" xfId="8" applyNumberFormat="1" applyFont="1">
      <alignment vertical="center"/>
    </xf>
    <xf numFmtId="0" fontId="36" fillId="0" borderId="0" xfId="10" applyNumberFormat="1" applyFont="1" applyAlignment="1">
      <alignment horizontal="left" vertical="center"/>
    </xf>
    <xf numFmtId="41" fontId="36" fillId="0" borderId="0" xfId="10" applyNumberFormat="1" applyFont="1" applyAlignment="1">
      <alignment horizontal="left" vertical="center"/>
    </xf>
    <xf numFmtId="0" fontId="37" fillId="0" borderId="0" xfId="10" applyNumberFormat="1" applyFont="1" applyAlignment="1">
      <alignment horizontal="center" vertical="center"/>
    </xf>
    <xf numFmtId="0" fontId="23" fillId="0" borderId="0" xfId="10" applyNumberFormat="1" applyFont="1" applyAlignment="1">
      <alignment vertical="center"/>
    </xf>
    <xf numFmtId="0" fontId="23" fillId="0" borderId="0" xfId="10" applyNumberFormat="1" applyFont="1" applyAlignment="1">
      <alignment horizontal="center" vertical="center"/>
    </xf>
    <xf numFmtId="41" fontId="23" fillId="0" borderId="0" xfId="9" applyNumberFormat="1" applyFont="1">
      <alignment vertical="center"/>
    </xf>
    <xf numFmtId="3" fontId="23" fillId="0" borderId="0" xfId="10" applyNumberFormat="1" applyFont="1" applyAlignment="1">
      <alignment horizontal="right" vertical="center" indent="1"/>
    </xf>
    <xf numFmtId="41" fontId="23" fillId="0" borderId="0" xfId="9" applyNumberFormat="1" applyFont="1" applyAlignment="1">
      <alignment horizontal="right" vertical="center" indent="1"/>
    </xf>
    <xf numFmtId="41" fontId="17" fillId="0" borderId="0" xfId="9" applyNumberFormat="1" applyFont="1" applyAlignment="1">
      <alignment horizontal="right" vertical="center"/>
    </xf>
    <xf numFmtId="41" fontId="23" fillId="0" borderId="0" xfId="9" applyNumberFormat="1" applyFont="1" applyAlignment="1">
      <alignment horizontal="center" vertical="center"/>
    </xf>
    <xf numFmtId="41" fontId="35" fillId="0" borderId="0" xfId="9" applyNumberFormat="1" applyFont="1" applyAlignment="1">
      <alignment horizontal="right" vertical="center"/>
    </xf>
    <xf numFmtId="0" fontId="23" fillId="8" borderId="34" xfId="10" applyNumberFormat="1" applyFont="1" applyFill="1" applyBorder="1" applyAlignment="1">
      <alignment horizontal="center" vertical="center" wrapText="1"/>
    </xf>
    <xf numFmtId="0" fontId="23" fillId="8" borderId="35" xfId="10" applyNumberFormat="1" applyFont="1" applyFill="1" applyBorder="1" applyAlignment="1">
      <alignment horizontal="center" vertical="center" wrapText="1"/>
    </xf>
    <xf numFmtId="41" fontId="23" fillId="8" borderId="35" xfId="9" applyNumberFormat="1" applyFont="1" applyFill="1" applyBorder="1" applyAlignment="1">
      <alignment horizontal="center" vertical="center"/>
    </xf>
    <xf numFmtId="41" fontId="23" fillId="8" borderId="35" xfId="9" applyNumberFormat="1" applyFont="1" applyFill="1" applyBorder="1" applyAlignment="1">
      <alignment horizontal="center" vertical="center" wrapText="1"/>
    </xf>
    <xf numFmtId="3" fontId="23" fillId="8" borderId="35" xfId="10" applyNumberFormat="1" applyFont="1" applyFill="1" applyBorder="1" applyAlignment="1">
      <alignment horizontal="center" vertical="center" wrapText="1"/>
    </xf>
    <xf numFmtId="41" fontId="19" fillId="8" borderId="35" xfId="9" applyNumberFormat="1" applyFont="1" applyFill="1" applyBorder="1" applyAlignment="1">
      <alignment horizontal="center" vertical="center"/>
    </xf>
    <xf numFmtId="41" fontId="19" fillId="8" borderId="36" xfId="9" applyNumberFormat="1" applyFont="1" applyFill="1" applyBorder="1" applyAlignment="1">
      <alignment horizontal="center" vertical="center"/>
    </xf>
    <xf numFmtId="41" fontId="19" fillId="8" borderId="37" xfId="9" applyNumberFormat="1" applyFont="1" applyFill="1" applyBorder="1" applyAlignment="1">
      <alignment horizontal="center" vertical="center"/>
    </xf>
    <xf numFmtId="41" fontId="19" fillId="8" borderId="35" xfId="9" applyNumberFormat="1" applyFont="1" applyFill="1" applyBorder="1" applyAlignment="1">
      <alignment horizontal="center" vertical="center" wrapText="1"/>
    </xf>
    <xf numFmtId="0" fontId="19" fillId="8" borderId="36" xfId="10" applyNumberFormat="1" applyFont="1" applyFill="1" applyBorder="1" applyAlignment="1">
      <alignment horizontal="center" vertical="center"/>
    </xf>
    <xf numFmtId="41" fontId="19" fillId="9" borderId="7" xfId="9" applyNumberFormat="1" applyFont="1" applyFill="1" applyBorder="1" applyAlignment="1">
      <alignment horizontal="center" vertical="center"/>
    </xf>
    <xf numFmtId="41" fontId="19" fillId="9" borderId="38" xfId="9" applyNumberFormat="1" applyFont="1" applyFill="1" applyBorder="1" applyAlignment="1">
      <alignment horizontal="center" vertical="center"/>
    </xf>
    <xf numFmtId="41" fontId="19" fillId="9" borderId="30" xfId="9" applyNumberFormat="1" applyFont="1" applyFill="1" applyBorder="1" applyAlignment="1">
      <alignment horizontal="center" vertical="center"/>
    </xf>
    <xf numFmtId="0" fontId="19" fillId="0" borderId="0" xfId="10" applyNumberFormat="1" applyFont="1" applyAlignment="1">
      <alignment horizontal="center" vertical="center"/>
    </xf>
    <xf numFmtId="0" fontId="23" fillId="0" borderId="8" xfId="10" applyNumberFormat="1" applyFont="1" applyBorder="1" applyAlignment="1">
      <alignment horizontal="center" vertical="center" wrapText="1" shrinkToFit="1"/>
    </xf>
    <xf numFmtId="1" fontId="23" fillId="0" borderId="8" xfId="10" applyNumberFormat="1" applyFont="1" applyBorder="1" applyAlignment="1">
      <alignment horizontal="center" vertical="center" wrapText="1" shrinkToFit="1"/>
    </xf>
    <xf numFmtId="0" fontId="19" fillId="0" borderId="8" xfId="10" applyNumberFormat="1" applyFont="1" applyBorder="1" applyAlignment="1">
      <alignment horizontal="center" vertical="center"/>
    </xf>
    <xf numFmtId="41" fontId="19" fillId="6" borderId="8" xfId="9" applyNumberFormat="1" applyFont="1" applyFill="1" applyBorder="1" applyAlignment="1">
      <alignment horizontal="right" vertical="center"/>
    </xf>
    <xf numFmtId="41" fontId="23" fillId="4" borderId="39" xfId="9" applyNumberFormat="1" applyFont="1" applyFill="1" applyBorder="1" applyAlignment="1">
      <alignment horizontal="center" vertical="center"/>
    </xf>
    <xf numFmtId="41" fontId="19" fillId="6" borderId="29" xfId="9" applyNumberFormat="1" applyFont="1" applyFill="1" applyBorder="1" applyAlignment="1">
      <alignment horizontal="right" vertical="center"/>
    </xf>
    <xf numFmtId="41" fontId="19" fillId="6" borderId="39" xfId="9" applyNumberFormat="1" applyFont="1" applyFill="1" applyBorder="1" applyAlignment="1">
      <alignment horizontal="right" vertical="center"/>
    </xf>
    <xf numFmtId="0" fontId="23" fillId="2" borderId="8" xfId="10" applyNumberFormat="1" applyFont="1" applyFill="1" applyBorder="1" applyAlignment="1">
      <alignment horizontal="center" vertical="center" wrapText="1" shrinkToFit="1"/>
    </xf>
    <xf numFmtId="0" fontId="23" fillId="2" borderId="8" xfId="10" applyNumberFormat="1" applyFont="1" applyFill="1" applyBorder="1" applyAlignment="1">
      <alignment horizontal="center" vertical="center" shrinkToFit="1"/>
    </xf>
    <xf numFmtId="41" fontId="23" fillId="2" borderId="8" xfId="9" applyNumberFormat="1" applyFont="1" applyFill="1" applyBorder="1" applyAlignment="1">
      <alignment horizontal="right" vertical="center"/>
    </xf>
    <xf numFmtId="41" fontId="23" fillId="0" borderId="8" xfId="9" applyNumberFormat="1" applyFont="1" applyBorder="1" applyAlignment="1">
      <alignment horizontal="right" vertical="center"/>
    </xf>
    <xf numFmtId="41" fontId="23" fillId="12" borderId="8" xfId="9" applyNumberFormat="1" applyFont="1" applyFill="1" applyBorder="1" applyAlignment="1">
      <alignment horizontal="right" vertical="center"/>
    </xf>
    <xf numFmtId="41" fontId="23" fillId="4" borderId="29" xfId="9" applyNumberFormat="1" applyFont="1" applyFill="1" applyBorder="1" applyAlignment="1">
      <alignment horizontal="right" vertical="center"/>
    </xf>
    <xf numFmtId="41" fontId="23" fillId="4" borderId="8" xfId="9" applyNumberFormat="1" applyFont="1" applyFill="1" applyBorder="1" applyAlignment="1">
      <alignment horizontal="right" vertical="center"/>
    </xf>
    <xf numFmtId="41" fontId="19" fillId="0" borderId="39" xfId="9" applyNumberFormat="1" applyFont="1" applyBorder="1" applyAlignment="1">
      <alignment horizontal="center" vertical="center" wrapText="1"/>
    </xf>
    <xf numFmtId="0" fontId="23" fillId="0" borderId="8" xfId="10" applyNumberFormat="1" applyFont="1" applyBorder="1" applyAlignment="1">
      <alignment horizontal="center" vertical="center" shrinkToFit="1"/>
    </xf>
    <xf numFmtId="0" fontId="19" fillId="0" borderId="8" xfId="10" applyNumberFormat="1" applyFont="1" applyBorder="1" applyAlignment="1">
      <alignment horizontal="center" vertical="center" wrapText="1" shrinkToFit="1"/>
    </xf>
    <xf numFmtId="41" fontId="19" fillId="4" borderId="39" xfId="9" applyNumberFormat="1" applyFont="1" applyFill="1" applyBorder="1" applyAlignment="1">
      <alignment horizontal="center" vertical="center"/>
    </xf>
    <xf numFmtId="41" fontId="19" fillId="0" borderId="8" xfId="9" applyNumberFormat="1" applyFont="1" applyBorder="1" applyAlignment="1">
      <alignment horizontal="right" vertical="center"/>
    </xf>
    <xf numFmtId="0" fontId="22" fillId="0" borderId="0" xfId="10" applyNumberFormat="1" applyFont="1" applyAlignment="1">
      <alignment horizontal="right" vertical="center"/>
    </xf>
    <xf numFmtId="0" fontId="35" fillId="0" borderId="0" xfId="8" applyNumberFormat="1" applyFont="1" applyAlignment="1">
      <alignment horizontal="center" vertical="center"/>
    </xf>
    <xf numFmtId="0" fontId="36" fillId="0" borderId="0" xfId="10" applyNumberFormat="1" applyFont="1" applyAlignment="1">
      <alignment vertical="center"/>
    </xf>
    <xf numFmtId="0" fontId="23" fillId="8" borderId="40" xfId="10" applyNumberFormat="1" applyFont="1" applyFill="1" applyBorder="1" applyAlignment="1">
      <alignment horizontal="center" vertical="center" wrapText="1"/>
    </xf>
    <xf numFmtId="0" fontId="23" fillId="8" borderId="41" xfId="10" applyNumberFormat="1" applyFont="1" applyFill="1" applyBorder="1" applyAlignment="1">
      <alignment horizontal="center" vertical="center" wrapText="1"/>
    </xf>
    <xf numFmtId="41" fontId="23" fillId="8" borderId="41" xfId="9" applyNumberFormat="1" applyFont="1" applyFill="1" applyBorder="1" applyAlignment="1">
      <alignment horizontal="center" vertical="center"/>
    </xf>
    <xf numFmtId="41" fontId="23" fillId="8" borderId="41" xfId="9" applyNumberFormat="1" applyFont="1" applyFill="1" applyBorder="1" applyAlignment="1">
      <alignment horizontal="center" vertical="center" wrapText="1"/>
    </xf>
    <xf numFmtId="41" fontId="19" fillId="8" borderId="41" xfId="9" applyNumberFormat="1" applyFont="1" applyFill="1" applyBorder="1" applyAlignment="1">
      <alignment horizontal="center" vertical="center"/>
    </xf>
    <xf numFmtId="41" fontId="19" fillId="8" borderId="42" xfId="9" applyNumberFormat="1" applyFont="1" applyFill="1" applyBorder="1" applyAlignment="1">
      <alignment horizontal="center" vertical="center"/>
    </xf>
    <xf numFmtId="41" fontId="19" fillId="8" borderId="43" xfId="9" applyNumberFormat="1" applyFont="1" applyFill="1" applyBorder="1" applyAlignment="1">
      <alignment horizontal="center" vertical="center"/>
    </xf>
    <xf numFmtId="41" fontId="19" fillId="8" borderId="44" xfId="9" applyNumberFormat="1" applyFont="1" applyFill="1" applyBorder="1" applyAlignment="1">
      <alignment horizontal="center" vertical="center"/>
    </xf>
    <xf numFmtId="41" fontId="19" fillId="8" borderId="41" xfId="9" applyNumberFormat="1" applyFont="1" applyFill="1" applyBorder="1" applyAlignment="1">
      <alignment horizontal="center" vertical="center" wrapText="1"/>
    </xf>
    <xf numFmtId="0" fontId="19" fillId="8" borderId="42" xfId="10" applyNumberFormat="1" applyFont="1" applyFill="1" applyBorder="1" applyAlignment="1">
      <alignment horizontal="center" vertical="center"/>
    </xf>
    <xf numFmtId="41" fontId="19" fillId="9" borderId="45" xfId="9" applyNumberFormat="1" applyFont="1" applyFill="1" applyBorder="1" applyAlignment="1">
      <alignment horizontal="center" vertical="center"/>
    </xf>
    <xf numFmtId="41" fontId="19" fillId="9" borderId="46" xfId="9" applyNumberFormat="1" applyFont="1" applyFill="1" applyBorder="1" applyAlignment="1">
      <alignment horizontal="center" vertical="center"/>
    </xf>
    <xf numFmtId="41" fontId="19" fillId="9" borderId="47" xfId="9" applyNumberFormat="1" applyFont="1" applyFill="1" applyBorder="1" applyAlignment="1">
      <alignment horizontal="center" vertical="center"/>
    </xf>
    <xf numFmtId="41" fontId="23" fillId="6" borderId="39" xfId="9" applyNumberFormat="1" applyFont="1" applyFill="1" applyBorder="1" applyAlignment="1">
      <alignment horizontal="center" vertical="center"/>
    </xf>
    <xf numFmtId="41" fontId="19" fillId="6" borderId="48" xfId="9" applyNumberFormat="1" applyFont="1" applyFill="1" applyBorder="1" applyAlignment="1">
      <alignment horizontal="right" vertical="center"/>
    </xf>
    <xf numFmtId="41" fontId="19" fillId="6" borderId="49" xfId="9" applyNumberFormat="1" applyFont="1" applyFill="1" applyBorder="1" applyAlignment="1">
      <alignment horizontal="right" vertical="center"/>
    </xf>
    <xf numFmtId="41" fontId="23" fillId="4" borderId="48" xfId="9" applyNumberFormat="1" applyFont="1" applyFill="1" applyBorder="1" applyAlignment="1">
      <alignment horizontal="right" vertical="center"/>
    </xf>
    <xf numFmtId="41" fontId="19" fillId="0" borderId="50" xfId="9" applyNumberFormat="1" applyFont="1" applyBorder="1" applyAlignment="1">
      <alignment horizontal="center" vertical="center" wrapText="1"/>
    </xf>
    <xf numFmtId="0" fontId="23" fillId="0" borderId="51" xfId="10" applyNumberFormat="1" applyFont="1" applyBorder="1" applyAlignment="1">
      <alignment horizontal="center" vertical="center" wrapText="1" shrinkToFit="1"/>
    </xf>
    <xf numFmtId="0" fontId="23" fillId="0" borderId="51" xfId="10" applyNumberFormat="1" applyFont="1" applyBorder="1" applyAlignment="1">
      <alignment horizontal="center" vertical="center" shrinkToFit="1"/>
    </xf>
    <xf numFmtId="41" fontId="23" fillId="0" borderId="51" xfId="9" applyNumberFormat="1" applyFont="1" applyBorder="1" applyAlignment="1">
      <alignment horizontal="right" vertical="center"/>
    </xf>
    <xf numFmtId="41" fontId="19" fillId="6" borderId="51" xfId="9" applyNumberFormat="1" applyFont="1" applyFill="1" applyBorder="1" applyAlignment="1">
      <alignment horizontal="right" vertical="center"/>
    </xf>
    <xf numFmtId="41" fontId="23" fillId="4" borderId="52" xfId="9" applyNumberFormat="1" applyFont="1" applyFill="1" applyBorder="1" applyAlignment="1">
      <alignment horizontal="center" vertical="center"/>
    </xf>
    <xf numFmtId="41" fontId="23" fillId="4" borderId="53" xfId="9" applyNumberFormat="1" applyFont="1" applyFill="1" applyBorder="1" applyAlignment="1">
      <alignment horizontal="right" vertical="center"/>
    </xf>
    <xf numFmtId="41" fontId="23" fillId="4" borderId="54" xfId="9" applyNumberFormat="1" applyFont="1" applyFill="1" applyBorder="1" applyAlignment="1">
      <alignment horizontal="right" vertical="center"/>
    </xf>
    <xf numFmtId="41" fontId="23" fillId="4" borderId="51" xfId="9" applyNumberFormat="1" applyFont="1" applyFill="1" applyBorder="1" applyAlignment="1">
      <alignment horizontal="right" vertical="center"/>
    </xf>
    <xf numFmtId="41" fontId="19" fillId="0" borderId="55" xfId="9" applyNumberFormat="1" applyFont="1" applyBorder="1" applyAlignment="1">
      <alignment horizontal="center" vertical="center" wrapText="1"/>
    </xf>
    <xf numFmtId="0" fontId="23" fillId="0" borderId="7" xfId="10" applyNumberFormat="1" applyFont="1" applyBorder="1" applyAlignment="1">
      <alignment horizontal="center" vertical="center" wrapText="1" shrinkToFit="1"/>
    </xf>
    <xf numFmtId="0" fontId="19" fillId="0" borderId="7" xfId="10" applyNumberFormat="1" applyFont="1" applyBorder="1" applyAlignment="1">
      <alignment horizontal="center" vertical="center"/>
    </xf>
    <xf numFmtId="41" fontId="19" fillId="6" borderId="7" xfId="9" applyNumberFormat="1" applyFont="1" applyFill="1" applyBorder="1" applyAlignment="1">
      <alignment horizontal="right" vertical="center"/>
    </xf>
    <xf numFmtId="41" fontId="23" fillId="4" borderId="56" xfId="9" applyNumberFormat="1" applyFont="1" applyFill="1" applyBorder="1" applyAlignment="1">
      <alignment horizontal="center" vertical="center"/>
    </xf>
    <xf numFmtId="41" fontId="19" fillId="6" borderId="57" xfId="9" applyNumberFormat="1" applyFont="1" applyFill="1" applyBorder="1" applyAlignment="1">
      <alignment horizontal="right" vertical="center"/>
    </xf>
    <xf numFmtId="41" fontId="19" fillId="6" borderId="30" xfId="9" applyNumberFormat="1" applyFont="1" applyFill="1" applyBorder="1" applyAlignment="1">
      <alignment horizontal="right" vertical="center"/>
    </xf>
    <xf numFmtId="41" fontId="23" fillId="4" borderId="30" xfId="9" applyNumberFormat="1" applyFont="1" applyFill="1" applyBorder="1" applyAlignment="1">
      <alignment horizontal="right" vertical="center"/>
    </xf>
    <xf numFmtId="41" fontId="23" fillId="4" borderId="7" xfId="9" applyNumberFormat="1" applyFont="1" applyFill="1" applyBorder="1" applyAlignment="1">
      <alignment horizontal="right" vertical="center"/>
    </xf>
    <xf numFmtId="41" fontId="19" fillId="6" borderId="56" xfId="9" applyNumberFormat="1" applyFont="1" applyFill="1" applyBorder="1" applyAlignment="1">
      <alignment horizontal="right" vertical="center"/>
    </xf>
    <xf numFmtId="0" fontId="23" fillId="0" borderId="25" xfId="10" applyNumberFormat="1" applyFont="1" applyBorder="1" applyAlignment="1">
      <alignment horizontal="center" vertical="center" wrapText="1" shrinkToFit="1"/>
    </xf>
    <xf numFmtId="0" fontId="23" fillId="0" borderId="25" xfId="10" applyNumberFormat="1" applyFont="1" applyBorder="1" applyAlignment="1">
      <alignment horizontal="center" vertical="center" shrinkToFit="1"/>
    </xf>
    <xf numFmtId="41" fontId="23" fillId="0" borderId="25" xfId="9" applyNumberFormat="1" applyFont="1" applyBorder="1" applyAlignment="1">
      <alignment horizontal="right" vertical="center"/>
    </xf>
    <xf numFmtId="41" fontId="19" fillId="6" borderId="25" xfId="9" applyNumberFormat="1" applyFont="1" applyFill="1" applyBorder="1" applyAlignment="1">
      <alignment horizontal="right" vertical="center"/>
    </xf>
    <xf numFmtId="41" fontId="23" fillId="4" borderId="58" xfId="9" applyNumberFormat="1" applyFont="1" applyFill="1" applyBorder="1" applyAlignment="1">
      <alignment horizontal="center" vertical="center"/>
    </xf>
    <xf numFmtId="41" fontId="23" fillId="4" borderId="59" xfId="9" applyNumberFormat="1" applyFont="1" applyFill="1" applyBorder="1" applyAlignment="1">
      <alignment horizontal="right" vertical="center"/>
    </xf>
    <xf numFmtId="41" fontId="23" fillId="4" borderId="31" xfId="9" applyNumberFormat="1" applyFont="1" applyFill="1" applyBorder="1" applyAlignment="1">
      <alignment horizontal="right" vertical="center"/>
    </xf>
    <xf numFmtId="41" fontId="23" fillId="4" borderId="25" xfId="9" applyNumberFormat="1" applyFont="1" applyFill="1" applyBorder="1" applyAlignment="1">
      <alignment horizontal="right" vertical="center"/>
    </xf>
    <xf numFmtId="41" fontId="19" fillId="0" borderId="58" xfId="9" applyNumberFormat="1" applyFont="1" applyBorder="1" applyAlignment="1">
      <alignment horizontal="center" vertical="center" wrapText="1"/>
    </xf>
    <xf numFmtId="0" fontId="35" fillId="0" borderId="60" xfId="8" applyNumberFormat="1" applyFont="1" applyBorder="1">
      <alignment vertical="center"/>
    </xf>
    <xf numFmtId="0" fontId="35" fillId="0" borderId="61" xfId="8" applyNumberFormat="1" applyFont="1" applyBorder="1">
      <alignment vertical="center"/>
    </xf>
    <xf numFmtId="0" fontId="35" fillId="0" borderId="61" xfId="8" applyNumberFormat="1" applyFont="1" applyBorder="1" applyAlignment="1">
      <alignment horizontal="center" vertical="center"/>
    </xf>
    <xf numFmtId="0" fontId="35" fillId="0" borderId="62" xfId="8" applyNumberFormat="1" applyFont="1" applyBorder="1">
      <alignment vertical="center"/>
    </xf>
    <xf numFmtId="0" fontId="35" fillId="0" borderId="63" xfId="8" applyNumberFormat="1" applyFont="1" applyBorder="1">
      <alignment vertical="center"/>
    </xf>
    <xf numFmtId="0" fontId="35" fillId="0" borderId="64" xfId="8" applyNumberFormat="1" applyFont="1" applyBorder="1">
      <alignment vertical="center"/>
    </xf>
    <xf numFmtId="41" fontId="23" fillId="0" borderId="64" xfId="9" applyNumberFormat="1" applyFont="1" applyBorder="1" applyAlignment="1">
      <alignment horizontal="center" vertical="center"/>
    </xf>
    <xf numFmtId="0" fontId="23" fillId="8" borderId="65" xfId="10" applyNumberFormat="1" applyFont="1" applyFill="1" applyBorder="1" applyAlignment="1">
      <alignment horizontal="center" vertical="center" wrapText="1"/>
    </xf>
    <xf numFmtId="41" fontId="19" fillId="8" borderId="66" xfId="9" applyNumberFormat="1" applyFont="1" applyFill="1" applyBorder="1" applyAlignment="1">
      <alignment horizontal="center" vertical="center"/>
    </xf>
    <xf numFmtId="41" fontId="19" fillId="9" borderId="67" xfId="9" applyNumberFormat="1" applyFont="1" applyFill="1" applyBorder="1" applyAlignment="1">
      <alignment horizontal="center" vertical="center"/>
    </xf>
    <xf numFmtId="0" fontId="19" fillId="0" borderId="25" xfId="10" applyNumberFormat="1" applyFont="1" applyBorder="1" applyAlignment="1">
      <alignment horizontal="center" vertical="center"/>
    </xf>
    <xf numFmtId="41" fontId="19" fillId="6" borderId="58" xfId="9" applyNumberFormat="1" applyFont="1" applyFill="1" applyBorder="1" applyAlignment="1">
      <alignment horizontal="right" vertical="center"/>
    </xf>
    <xf numFmtId="41" fontId="23" fillId="4" borderId="68" xfId="9" applyNumberFormat="1" applyFont="1" applyFill="1" applyBorder="1" applyAlignment="1">
      <alignment horizontal="center" vertical="center"/>
    </xf>
    <xf numFmtId="0" fontId="23" fillId="0" borderId="7" xfId="10" applyNumberFormat="1" applyFont="1" applyBorder="1" applyAlignment="1">
      <alignment horizontal="center" vertical="center" shrinkToFit="1"/>
    </xf>
    <xf numFmtId="41" fontId="23" fillId="12" borderId="7" xfId="9" applyNumberFormat="1" applyFont="1" applyFill="1" applyBorder="1" applyAlignment="1">
      <alignment horizontal="right" vertical="center"/>
    </xf>
    <xf numFmtId="41" fontId="23" fillId="0" borderId="7" xfId="9" applyNumberFormat="1" applyFont="1" applyBorder="1" applyAlignment="1">
      <alignment horizontal="right" vertical="center"/>
    </xf>
    <xf numFmtId="41" fontId="23" fillId="4" borderId="67" xfId="9" applyNumberFormat="1" applyFont="1" applyFill="1" applyBorder="1" applyAlignment="1">
      <alignment horizontal="center" vertical="center"/>
    </xf>
    <xf numFmtId="41" fontId="23" fillId="4" borderId="49" xfId="9" applyNumberFormat="1" applyFont="1" applyFill="1" applyBorder="1" applyAlignment="1">
      <alignment horizontal="center" vertical="center"/>
    </xf>
    <xf numFmtId="0" fontId="23" fillId="0" borderId="31" xfId="10" applyNumberFormat="1" applyFont="1" applyBorder="1" applyAlignment="1">
      <alignment horizontal="center" vertical="center" wrapText="1" shrinkToFit="1"/>
    </xf>
    <xf numFmtId="0" fontId="23" fillId="0" borderId="30" xfId="10" applyNumberFormat="1" applyFont="1" applyBorder="1" applyAlignment="1">
      <alignment horizontal="center" vertical="center" wrapText="1" shrinkToFit="1"/>
    </xf>
    <xf numFmtId="0" fontId="23" fillId="0" borderId="29" xfId="10" applyNumberFormat="1" applyFont="1" applyBorder="1" applyAlignment="1">
      <alignment horizontal="center" vertical="center" wrapText="1" shrinkToFit="1"/>
    </xf>
    <xf numFmtId="0" fontId="23" fillId="0" borderId="54" xfId="10" applyNumberFormat="1" applyFont="1" applyBorder="1" applyAlignment="1">
      <alignment horizontal="center" vertical="center" wrapText="1" shrinkToFit="1"/>
    </xf>
    <xf numFmtId="41" fontId="19" fillId="6" borderId="69" xfId="9" applyNumberFormat="1" applyFont="1" applyFill="1" applyBorder="1" applyAlignment="1">
      <alignment horizontal="right" vertical="center"/>
    </xf>
    <xf numFmtId="41" fontId="23" fillId="4" borderId="70" xfId="9" applyNumberFormat="1" applyFont="1" applyFill="1" applyBorder="1" applyAlignment="1">
      <alignment horizontal="center" vertical="center"/>
    </xf>
    <xf numFmtId="0" fontId="35" fillId="0" borderId="0" xfId="11" applyNumberFormat="1" applyFont="1" applyAlignment="1">
      <alignment vertical="center"/>
    </xf>
    <xf numFmtId="176" fontId="35" fillId="0" borderId="0" xfId="11" applyNumberFormat="1" applyFont="1" applyAlignment="1">
      <alignment vertical="center"/>
    </xf>
    <xf numFmtId="41" fontId="35" fillId="0" borderId="0" xfId="9" applyNumberFormat="1" applyFont="1" applyAlignment="1">
      <alignment horizontal="center" vertical="center"/>
    </xf>
    <xf numFmtId="0" fontId="35" fillId="0" borderId="0" xfId="11" applyNumberFormat="1" applyFont="1"/>
    <xf numFmtId="0" fontId="35" fillId="0" borderId="0" xfId="0" applyNumberFormat="1" applyFont="1">
      <alignment vertical="center"/>
    </xf>
    <xf numFmtId="3" fontId="35" fillId="0" borderId="0" xfId="12" applyNumberFormat="1" applyFont="1" applyAlignment="1">
      <alignment horizontal="center" vertical="center" shrinkToFit="1"/>
    </xf>
    <xf numFmtId="0" fontId="38" fillId="0" borderId="0" xfId="8" applyNumberFormat="1" applyFont="1">
      <alignment vertical="center"/>
    </xf>
    <xf numFmtId="0" fontId="39" fillId="0" borderId="0" xfId="8" applyNumberFormat="1" applyFont="1" applyAlignment="1">
      <alignment horizontal="center" vertical="center"/>
    </xf>
    <xf numFmtId="0" fontId="39" fillId="0" borderId="0" xfId="8" applyNumberFormat="1" applyFont="1" applyAlignment="1">
      <alignment horizontal="center" vertical="center" shrinkToFit="1"/>
    </xf>
    <xf numFmtId="0" fontId="40" fillId="0" borderId="0" xfId="8" applyNumberFormat="1" applyFont="1" applyAlignment="1">
      <alignment horizontal="center" vertical="center"/>
    </xf>
    <xf numFmtId="0" fontId="41" fillId="0" borderId="0" xfId="8" applyNumberFormat="1" applyFont="1" applyAlignment="1">
      <alignment horizontal="center" vertical="center"/>
    </xf>
    <xf numFmtId="41" fontId="13" fillId="0" borderId="2" xfId="0" applyNumberFormat="1" applyFont="1" applyBorder="1" applyAlignment="1">
      <alignment horizontal="right" vertical="center" shrinkToFit="1"/>
    </xf>
    <xf numFmtId="41" fontId="13" fillId="0" borderId="1" xfId="2" applyNumberFormat="1" applyFont="1" applyBorder="1" applyAlignment="1">
      <alignment vertical="center" shrinkToFit="1"/>
    </xf>
    <xf numFmtId="41" fontId="13" fillId="3" borderId="1" xfId="2" applyNumberFormat="1" applyFont="1" applyFill="1" applyBorder="1" applyAlignment="1">
      <alignment vertical="center" shrinkToFit="1"/>
    </xf>
    <xf numFmtId="41" fontId="3" fillId="0" borderId="0" xfId="0" applyNumberFormat="1" applyFont="1">
      <alignment vertical="center"/>
    </xf>
    <xf numFmtId="176" fontId="42" fillId="0" borderId="15" xfId="0" applyNumberFormat="1" applyFont="1" applyBorder="1" applyAlignment="1">
      <alignment horizontal="left" vertical="center" wrapText="1" shrinkToFit="1"/>
    </xf>
    <xf numFmtId="176" fontId="42" fillId="0" borderId="71" xfId="7" applyNumberFormat="1" applyFont="1" applyBorder="1" applyAlignment="1">
      <alignment horizontal="left" vertical="center" wrapText="1" shrinkToFit="1"/>
    </xf>
    <xf numFmtId="0" fontId="43" fillId="0" borderId="0" xfId="0" applyNumberFormat="1" applyFont="1" applyAlignment="1"/>
    <xf numFmtId="0" fontId="43" fillId="0" borderId="0" xfId="0" applyNumberFormat="1" applyFont="1" applyAlignment="1">
      <alignment wrapText="1"/>
    </xf>
    <xf numFmtId="41" fontId="44" fillId="0" borderId="3" xfId="7" applyNumberFormat="1" applyFont="1" applyBorder="1" applyAlignment="1">
      <alignment vertical="center"/>
    </xf>
    <xf numFmtId="41" fontId="44" fillId="0" borderId="3" xfId="7" applyNumberFormat="1" applyFont="1" applyBorder="1" applyAlignment="1">
      <alignment horizontal="center" vertical="center"/>
    </xf>
    <xf numFmtId="0" fontId="42" fillId="0" borderId="3" xfId="0" applyNumberFormat="1" applyFont="1" applyBorder="1" applyAlignment="1">
      <alignment horizontal="right" vertical="center" wrapText="1"/>
    </xf>
    <xf numFmtId="0" fontId="1" fillId="0" borderId="5" xfId="0" applyNumberFormat="1" applyFont="1" applyBorder="1" applyAlignment="1">
      <alignment horizontal="center" vertical="center"/>
    </xf>
    <xf numFmtId="0" fontId="1" fillId="0" borderId="6" xfId="0" applyNumberFormat="1" applyFont="1" applyBorder="1" applyAlignment="1">
      <alignment horizontal="center" vertical="center"/>
    </xf>
    <xf numFmtId="0" fontId="1" fillId="0" borderId="72" xfId="0" applyNumberFormat="1" applyFont="1" applyBorder="1" applyAlignment="1">
      <alignment horizontal="center" vertical="center"/>
    </xf>
    <xf numFmtId="0" fontId="1" fillId="0" borderId="18" xfId="0" applyNumberFormat="1" applyFont="1" applyBorder="1" applyAlignment="1">
      <alignment horizontal="center" vertical="center"/>
    </xf>
    <xf numFmtId="0" fontId="1" fillId="0" borderId="18" xfId="0" applyNumberFormat="1" applyFont="1" applyBorder="1" applyAlignment="1">
      <alignment horizontal="center" vertical="center" shrinkToFit="1"/>
    </xf>
    <xf numFmtId="176" fontId="45" fillId="0" borderId="73" xfId="7" applyNumberFormat="1" applyFont="1" applyBorder="1" applyAlignment="1">
      <alignment horizontal="right" vertical="center" shrinkToFit="1"/>
    </xf>
    <xf numFmtId="178" fontId="45" fillId="0" borderId="73" xfId="7" applyNumberFormat="1" applyFont="1" applyBorder="1" applyAlignment="1">
      <alignment horizontal="right" vertical="center" shrinkToFit="1"/>
    </xf>
    <xf numFmtId="176" fontId="45" fillId="0" borderId="74" xfId="7" applyNumberFormat="1" applyFont="1" applyBorder="1" applyAlignment="1">
      <alignment horizontal="right" vertical="center" shrinkToFit="1"/>
    </xf>
    <xf numFmtId="176" fontId="45" fillId="0" borderId="73" xfId="7" applyNumberFormat="1" applyFont="1" applyBorder="1" applyAlignment="1">
      <alignment vertical="center" shrinkToFit="1"/>
    </xf>
    <xf numFmtId="178" fontId="45" fillId="0" borderId="75" xfId="7" applyNumberFormat="1" applyFont="1" applyBorder="1" applyAlignment="1">
      <alignment vertical="center" shrinkToFit="1"/>
    </xf>
    <xf numFmtId="176" fontId="45" fillId="0" borderId="76" xfId="7" applyNumberFormat="1" applyFont="1" applyBorder="1" applyAlignment="1">
      <alignment horizontal="right" vertical="center" wrapText="1"/>
    </xf>
    <xf numFmtId="0" fontId="42" fillId="13" borderId="77" xfId="0" applyNumberFormat="1" applyFont="1" applyFill="1" applyBorder="1" applyAlignment="1">
      <alignment horizontal="center" vertical="center" shrinkToFit="1"/>
    </xf>
    <xf numFmtId="0" fontId="42" fillId="13" borderId="78" xfId="0" applyNumberFormat="1" applyFont="1" applyFill="1" applyBorder="1" applyAlignment="1">
      <alignment horizontal="center" vertical="center" shrinkToFit="1"/>
    </xf>
    <xf numFmtId="41" fontId="42" fillId="13" borderId="78" xfId="2" applyNumberFormat="1" applyFont="1" applyFill="1" applyBorder="1" applyAlignment="1">
      <alignment horizontal="right" vertical="center" shrinkToFit="1"/>
    </xf>
    <xf numFmtId="4" fontId="42" fillId="13" borderId="78" xfId="2" applyNumberFormat="1" applyFont="1" applyFill="1" applyBorder="1" applyAlignment="1">
      <alignment horizontal="right" vertical="center" shrinkToFit="1"/>
    </xf>
    <xf numFmtId="176" fontId="42" fillId="13" borderId="79" xfId="7" applyNumberFormat="1" applyFont="1" applyFill="1" applyBorder="1" applyAlignment="1">
      <alignment horizontal="right" vertical="center" wrapText="1" shrinkToFit="1"/>
    </xf>
    <xf numFmtId="9" fontId="42" fillId="13" borderId="80" xfId="0" applyNumberFormat="1" applyFont="1" applyFill="1" applyBorder="1" applyAlignment="1">
      <alignment horizontal="center" vertical="center" shrinkToFit="1"/>
    </xf>
    <xf numFmtId="9" fontId="42" fillId="13" borderId="78" xfId="0" applyNumberFormat="1" applyFont="1" applyFill="1" applyBorder="1" applyAlignment="1">
      <alignment horizontal="center" vertical="center" shrinkToFit="1"/>
    </xf>
    <xf numFmtId="41" fontId="42" fillId="13" borderId="19" xfId="2" applyNumberFormat="1" applyFont="1" applyFill="1" applyBorder="1" applyAlignment="1">
      <alignment horizontal="right" vertical="center" shrinkToFit="1"/>
    </xf>
    <xf numFmtId="178" fontId="42" fillId="13" borderId="78" xfId="2" applyNumberFormat="1" applyFont="1" applyFill="1" applyBorder="1" applyAlignment="1">
      <alignment horizontal="right" vertical="center" shrinkToFit="1"/>
    </xf>
    <xf numFmtId="176" fontId="42" fillId="13" borderId="38" xfId="7" applyNumberFormat="1" applyFont="1" applyFill="1" applyBorder="1" applyAlignment="1">
      <alignment horizontal="right" vertical="center" wrapText="1"/>
    </xf>
    <xf numFmtId="0" fontId="42" fillId="0" borderId="12" xfId="0" applyNumberFormat="1" applyFont="1" applyBorder="1" applyAlignment="1">
      <alignment horizontal="center" vertical="center" shrinkToFit="1"/>
    </xf>
    <xf numFmtId="0" fontId="42" fillId="14" borderId="8" xfId="0" applyNumberFormat="1" applyFont="1" applyFill="1" applyBorder="1" applyAlignment="1">
      <alignment horizontal="center" vertical="center" shrinkToFit="1"/>
    </xf>
    <xf numFmtId="41" fontId="42" fillId="14" borderId="8" xfId="2" applyNumberFormat="1" applyFont="1" applyFill="1" applyBorder="1" applyAlignment="1">
      <alignment horizontal="right" vertical="center" shrinkToFit="1"/>
    </xf>
    <xf numFmtId="4" fontId="42" fillId="14" borderId="8" xfId="2" applyNumberFormat="1" applyFont="1" applyFill="1" applyBorder="1" applyAlignment="1">
      <alignment horizontal="right" vertical="center" shrinkToFit="1"/>
    </xf>
    <xf numFmtId="176" fontId="42" fillId="14" borderId="71" xfId="7" applyNumberFormat="1" applyFont="1" applyFill="1" applyBorder="1" applyAlignment="1">
      <alignment horizontal="right" vertical="center" wrapText="1" shrinkToFit="1"/>
    </xf>
    <xf numFmtId="9" fontId="42" fillId="0" borderId="81" xfId="0" applyNumberFormat="1" applyFont="1" applyBorder="1" applyAlignment="1">
      <alignment horizontal="center" vertical="center" shrinkToFit="1"/>
    </xf>
    <xf numFmtId="9" fontId="42" fillId="14" borderId="8" xfId="0" applyNumberFormat="1" applyFont="1" applyFill="1" applyBorder="1" applyAlignment="1">
      <alignment horizontal="center" vertical="center" shrinkToFit="1"/>
    </xf>
    <xf numFmtId="41" fontId="42" fillId="14" borderId="18" xfId="2" applyNumberFormat="1" applyFont="1" applyFill="1" applyBorder="1" applyAlignment="1">
      <alignment horizontal="right" vertical="center" shrinkToFit="1"/>
    </xf>
    <xf numFmtId="178" fontId="42" fillId="14" borderId="8" xfId="2" applyNumberFormat="1" applyFont="1" applyFill="1" applyBorder="1" applyAlignment="1">
      <alignment horizontal="right" vertical="center" shrinkToFit="1"/>
    </xf>
    <xf numFmtId="176" fontId="42" fillId="14" borderId="39" xfId="7" applyNumberFormat="1" applyFont="1" applyFill="1" applyBorder="1" applyAlignment="1">
      <alignment horizontal="right" vertical="center" wrapText="1"/>
    </xf>
    <xf numFmtId="0" fontId="42" fillId="0" borderId="8" xfId="0" applyNumberFormat="1" applyFont="1" applyBorder="1" applyAlignment="1">
      <alignment horizontal="center" vertical="center" shrinkToFit="1"/>
    </xf>
    <xf numFmtId="41" fontId="42" fillId="0" borderId="8" xfId="2" applyNumberFormat="1" applyFont="1" applyBorder="1" applyAlignment="1">
      <alignment horizontal="right" vertical="center" shrinkToFit="1"/>
    </xf>
    <xf numFmtId="4" fontId="42" fillId="0" borderId="8" xfId="2" applyNumberFormat="1" applyFont="1" applyBorder="1" applyAlignment="1">
      <alignment horizontal="right" vertical="center" shrinkToFit="1"/>
    </xf>
    <xf numFmtId="9" fontId="42" fillId="0" borderId="8" xfId="0" applyNumberFormat="1" applyFont="1" applyBorder="1" applyAlignment="1">
      <alignment horizontal="center" vertical="center" shrinkToFit="1"/>
    </xf>
    <xf numFmtId="178" fontId="42" fillId="0" borderId="8" xfId="2" applyNumberFormat="1" applyFont="1" applyBorder="1" applyAlignment="1">
      <alignment horizontal="right" vertical="center" shrinkToFit="1"/>
    </xf>
    <xf numFmtId="0" fontId="42" fillId="13" borderId="12" xfId="0" applyNumberFormat="1" applyFont="1" applyFill="1" applyBorder="1" applyAlignment="1">
      <alignment horizontal="center" vertical="center" shrinkToFit="1"/>
    </xf>
    <xf numFmtId="0" fontId="42" fillId="13" borderId="8" xfId="0" applyNumberFormat="1" applyFont="1" applyFill="1" applyBorder="1" applyAlignment="1">
      <alignment horizontal="center" vertical="center" shrinkToFit="1"/>
    </xf>
    <xf numFmtId="41" fontId="42" fillId="13" borderId="8" xfId="2" applyNumberFormat="1" applyFont="1" applyFill="1" applyBorder="1" applyAlignment="1">
      <alignment horizontal="right" vertical="center" shrinkToFit="1"/>
    </xf>
    <xf numFmtId="4" fontId="42" fillId="13" borderId="8" xfId="2" applyNumberFormat="1" applyFont="1" applyFill="1" applyBorder="1" applyAlignment="1">
      <alignment horizontal="right" vertical="center" shrinkToFit="1"/>
    </xf>
    <xf numFmtId="176" fontId="42" fillId="13" borderId="71" xfId="7" applyNumberFormat="1" applyFont="1" applyFill="1" applyBorder="1" applyAlignment="1">
      <alignment horizontal="left" vertical="center" wrapText="1" shrinkToFit="1"/>
    </xf>
    <xf numFmtId="176" fontId="46" fillId="0" borderId="39" xfId="7" applyNumberFormat="1" applyFont="1" applyBorder="1" applyAlignment="1">
      <alignment horizontal="left" vertical="center" wrapText="1"/>
    </xf>
    <xf numFmtId="0" fontId="42" fillId="14" borderId="71" xfId="0" applyNumberFormat="1" applyFont="1" applyFill="1" applyBorder="1" applyAlignment="1">
      <alignment horizontal="left" vertical="center" wrapText="1"/>
    </xf>
    <xf numFmtId="178" fontId="42" fillId="0" borderId="8" xfId="0" applyNumberFormat="1" applyFont="1" applyBorder="1" applyAlignment="1">
      <alignment vertical="center" shrinkToFit="1"/>
    </xf>
    <xf numFmtId="176" fontId="42" fillId="14" borderId="71" xfId="7" applyNumberFormat="1" applyFont="1" applyFill="1" applyBorder="1" applyAlignment="1">
      <alignment horizontal="left" vertical="center" wrapText="1" shrinkToFit="1"/>
    </xf>
    <xf numFmtId="176" fontId="42" fillId="0" borderId="39" xfId="7" applyNumberFormat="1" applyFont="1" applyBorder="1" applyAlignment="1">
      <alignment horizontal="left" vertical="center" wrapText="1"/>
    </xf>
    <xf numFmtId="176" fontId="42" fillId="14" borderId="39" xfId="7" applyNumberFormat="1" applyFont="1" applyFill="1" applyBorder="1" applyAlignment="1">
      <alignment horizontal="left" vertical="center" wrapText="1"/>
    </xf>
    <xf numFmtId="0" fontId="42" fillId="0" borderId="12" xfId="0" applyNumberFormat="1" applyFont="1" applyBorder="1" applyAlignment="1">
      <alignment vertical="center" shrinkToFit="1"/>
    </xf>
    <xf numFmtId="0" fontId="42" fillId="0" borderId="8" xfId="0" applyNumberFormat="1" applyFont="1" applyBorder="1" applyAlignment="1">
      <alignment vertical="center" shrinkToFit="1"/>
    </xf>
    <xf numFmtId="9" fontId="42" fillId="13" borderId="81" xfId="0" applyNumberFormat="1" applyFont="1" applyFill="1" applyBorder="1" applyAlignment="1">
      <alignment horizontal="center" vertical="center" shrinkToFit="1"/>
    </xf>
    <xf numFmtId="9" fontId="42" fillId="13" borderId="8" xfId="0" applyNumberFormat="1" applyFont="1" applyFill="1" applyBorder="1" applyAlignment="1">
      <alignment horizontal="center" vertical="center" shrinkToFit="1"/>
    </xf>
    <xf numFmtId="178" fontId="42" fillId="13" borderId="8" xfId="2" applyNumberFormat="1" applyFont="1" applyFill="1" applyBorder="1" applyAlignment="1">
      <alignment horizontal="right" vertical="center" shrinkToFit="1"/>
    </xf>
    <xf numFmtId="176" fontId="42" fillId="13" borderId="39" xfId="7" applyNumberFormat="1" applyFont="1" applyFill="1" applyBorder="1" applyAlignment="1">
      <alignment horizontal="left" vertical="center" wrapText="1"/>
    </xf>
    <xf numFmtId="0" fontId="42" fillId="0" borderId="71" xfId="0" applyNumberFormat="1" applyFont="1" applyBorder="1" applyAlignment="1">
      <alignment horizontal="left" vertical="center" wrapText="1"/>
    </xf>
    <xf numFmtId="41" fontId="42" fillId="0" borderId="8" xfId="2" applyNumberFormat="1" applyFont="1" applyBorder="1" applyAlignment="1">
      <alignment vertical="center" shrinkToFit="1"/>
    </xf>
    <xf numFmtId="41" fontId="42" fillId="13" borderId="8" xfId="2" applyNumberFormat="1" applyFont="1" applyFill="1" applyBorder="1" applyAlignment="1">
      <alignment vertical="center" shrinkToFit="1"/>
    </xf>
    <xf numFmtId="4" fontId="42" fillId="13" borderId="8" xfId="0" applyNumberFormat="1" applyFont="1" applyFill="1" applyBorder="1" applyAlignment="1">
      <alignment vertical="center" shrinkToFit="1"/>
    </xf>
    <xf numFmtId="41" fontId="42" fillId="14" borderId="8" xfId="2" applyNumberFormat="1" applyFont="1" applyFill="1" applyBorder="1" applyAlignment="1">
      <alignment vertical="center" shrinkToFit="1"/>
    </xf>
    <xf numFmtId="4" fontId="42" fillId="14" borderId="8" xfId="0" applyNumberFormat="1" applyFont="1" applyFill="1" applyBorder="1" applyAlignment="1">
      <alignment vertical="center" shrinkToFit="1"/>
    </xf>
    <xf numFmtId="9" fontId="42" fillId="0" borderId="18" xfId="0" applyNumberFormat="1" applyFont="1" applyBorder="1" applyAlignment="1">
      <alignment horizontal="center" vertical="center" shrinkToFit="1"/>
    </xf>
    <xf numFmtId="178" fontId="42" fillId="0" borderId="18" xfId="2" applyNumberFormat="1" applyFont="1" applyBorder="1" applyAlignment="1">
      <alignment horizontal="right" vertical="center" shrinkToFit="1"/>
    </xf>
    <xf numFmtId="9" fontId="42" fillId="0" borderId="72" xfId="0" applyNumberFormat="1" applyFont="1" applyBorder="1" applyAlignment="1">
      <alignment horizontal="center" vertical="center" shrinkToFit="1"/>
    </xf>
    <xf numFmtId="4" fontId="42" fillId="0" borderId="13" xfId="0" applyNumberFormat="1" applyFont="1" applyBorder="1" applyAlignment="1">
      <alignment vertical="center" shrinkToFit="1"/>
    </xf>
    <xf numFmtId="0" fontId="42" fillId="0" borderId="81" xfId="0" applyNumberFormat="1" applyFont="1" applyBorder="1" applyAlignment="1">
      <alignment horizontal="center" vertical="center" shrinkToFit="1"/>
    </xf>
    <xf numFmtId="178" fontId="42" fillId="14" borderId="8" xfId="0" applyNumberFormat="1" applyFont="1" applyFill="1" applyBorder="1" applyAlignment="1">
      <alignment vertical="center" shrinkToFit="1"/>
    </xf>
    <xf numFmtId="0" fontId="42" fillId="14" borderId="39" xfId="0" applyNumberFormat="1" applyFont="1" applyFill="1" applyBorder="1" applyAlignment="1">
      <alignment horizontal="left" vertical="center" wrapText="1"/>
    </xf>
    <xf numFmtId="0" fontId="43" fillId="0" borderId="12" xfId="0" applyNumberFormat="1" applyFont="1" applyBorder="1">
      <alignment vertical="center"/>
    </xf>
    <xf numFmtId="0" fontId="43" fillId="0" borderId="8" xfId="0" applyNumberFormat="1" applyFont="1" applyBorder="1">
      <alignment vertical="center"/>
    </xf>
    <xf numFmtId="0" fontId="43" fillId="0" borderId="71" xfId="0" applyNumberFormat="1" applyFont="1" applyBorder="1">
      <alignment vertical="center"/>
    </xf>
    <xf numFmtId="0" fontId="42" fillId="13" borderId="81" xfId="0" applyNumberFormat="1" applyFont="1" applyFill="1" applyBorder="1" applyAlignment="1">
      <alignment horizontal="center" vertical="center" shrinkToFit="1"/>
    </xf>
    <xf numFmtId="178" fontId="42" fillId="13" borderId="8" xfId="0" applyNumberFormat="1" applyFont="1" applyFill="1" applyBorder="1" applyAlignment="1">
      <alignment vertical="center" shrinkToFit="1"/>
    </xf>
    <xf numFmtId="0" fontId="42" fillId="13" borderId="39" xfId="0" applyNumberFormat="1" applyFont="1" applyFill="1" applyBorder="1" applyAlignment="1">
      <alignment horizontal="left" vertical="center" wrapText="1"/>
    </xf>
    <xf numFmtId="0" fontId="42" fillId="13" borderId="39" xfId="0" applyNumberFormat="1" applyFont="1" applyFill="1" applyBorder="1" applyAlignment="1">
      <alignment vertical="center" wrapText="1"/>
    </xf>
    <xf numFmtId="0" fontId="42" fillId="14" borderId="39" xfId="0" applyNumberFormat="1" applyFont="1" applyFill="1" applyBorder="1" applyAlignment="1">
      <alignment vertical="center" wrapText="1"/>
    </xf>
    <xf numFmtId="0" fontId="43" fillId="0" borderId="16" xfId="0" applyNumberFormat="1" applyFont="1" applyBorder="1">
      <alignment vertical="center"/>
    </xf>
    <xf numFmtId="0" fontId="43" fillId="0" borderId="18" xfId="0" applyNumberFormat="1" applyFont="1" applyBorder="1">
      <alignment vertical="center"/>
    </xf>
    <xf numFmtId="0" fontId="43" fillId="0" borderId="82" xfId="0" applyNumberFormat="1" applyFont="1" applyBorder="1">
      <alignment vertical="center"/>
    </xf>
    <xf numFmtId="0" fontId="42" fillId="0" borderId="72" xfId="0" applyNumberFormat="1" applyFont="1" applyBorder="1" applyAlignment="1">
      <alignment horizontal="center" vertical="center" shrinkToFit="1"/>
    </xf>
    <xf numFmtId="0" fontId="42" fillId="0" borderId="18" xfId="0" applyNumberFormat="1" applyFont="1" applyBorder="1" applyAlignment="1">
      <alignment horizontal="center" vertical="center" shrinkToFit="1"/>
    </xf>
    <xf numFmtId="0" fontId="42" fillId="0" borderId="83" xfId="0" applyNumberFormat="1" applyFont="1" applyBorder="1" applyAlignment="1">
      <alignment vertical="center" wrapText="1"/>
    </xf>
    <xf numFmtId="0" fontId="43" fillId="0" borderId="84" xfId="0" applyNumberFormat="1" applyFont="1" applyBorder="1" applyAlignment="1"/>
    <xf numFmtId="0" fontId="43" fillId="0" borderId="25" xfId="0" applyNumberFormat="1" applyFont="1" applyBorder="1" applyAlignment="1"/>
    <xf numFmtId="0" fontId="43" fillId="0" borderId="85" xfId="0" applyNumberFormat="1" applyFont="1" applyBorder="1" applyAlignment="1"/>
    <xf numFmtId="0" fontId="42" fillId="0" borderId="86" xfId="0" applyNumberFormat="1" applyFont="1" applyBorder="1" applyAlignment="1">
      <alignment horizontal="center" vertical="center" shrinkToFit="1"/>
    </xf>
    <xf numFmtId="0" fontId="42" fillId="0" borderId="25" xfId="0" applyNumberFormat="1" applyFont="1" applyBorder="1" applyAlignment="1">
      <alignment horizontal="center" vertical="center" shrinkToFit="1"/>
    </xf>
    <xf numFmtId="41" fontId="42" fillId="0" borderId="24" xfId="2" applyNumberFormat="1" applyFont="1" applyBorder="1" applyAlignment="1">
      <alignment horizontal="right" vertical="center" shrinkToFit="1"/>
    </xf>
    <xf numFmtId="42" fontId="44" fillId="0" borderId="3" xfId="3" applyNumberFormat="1" applyFont="1" applyBorder="1">
      <alignment vertical="center"/>
    </xf>
    <xf numFmtId="42" fontId="47" fillId="0" borderId="3" xfId="3" applyNumberFormat="1" applyFont="1" applyBorder="1">
      <alignment vertical="center"/>
    </xf>
    <xf numFmtId="41" fontId="1" fillId="2" borderId="1" xfId="2" applyNumberFormat="1" applyFont="1" applyFill="1" applyBorder="1" applyAlignment="1">
      <alignment horizontal="center" vertical="center"/>
    </xf>
    <xf numFmtId="41" fontId="1" fillId="2" borderId="4" xfId="2" applyNumberFormat="1" applyFont="1" applyFill="1" applyBorder="1" applyAlignment="1">
      <alignment horizontal="center" vertical="center" wrapText="1"/>
    </xf>
    <xf numFmtId="49" fontId="1" fillId="2" borderId="4" xfId="2" applyNumberFormat="1" applyFont="1" applyFill="1" applyBorder="1" applyAlignment="1">
      <alignment horizontal="center" vertical="center" wrapText="1"/>
    </xf>
    <xf numFmtId="41" fontId="1" fillId="2" borderId="4" xfId="2" applyNumberFormat="1" applyFont="1" applyFill="1" applyBorder="1" applyAlignment="1">
      <alignment horizontal="center" vertical="center"/>
    </xf>
    <xf numFmtId="49" fontId="1" fillId="0" borderId="1" xfId="0" applyNumberFormat="1" applyFont="1" applyBorder="1" applyAlignment="1">
      <alignment horizontal="center" vertical="center"/>
    </xf>
    <xf numFmtId="41" fontId="1" fillId="0" borderId="2" xfId="0" applyNumberFormat="1" applyFont="1" applyBorder="1" applyAlignment="1">
      <alignment horizontal="right" vertical="center" shrinkToFit="1"/>
    </xf>
    <xf numFmtId="41" fontId="1" fillId="0" borderId="1" xfId="0" applyNumberFormat="1" applyFont="1" applyBorder="1" applyAlignment="1">
      <alignment horizontal="right" vertical="center" shrinkToFit="1"/>
    </xf>
    <xf numFmtId="41" fontId="1" fillId="0" borderId="1" xfId="2" applyNumberFormat="1" applyFont="1" applyBorder="1" applyAlignment="1">
      <alignment vertical="center" shrinkToFit="1"/>
    </xf>
    <xf numFmtId="41" fontId="1" fillId="0" borderId="87" xfId="2" applyNumberFormat="1" applyFont="1" applyBorder="1" applyAlignment="1">
      <alignment vertical="center" shrinkToFit="1"/>
    </xf>
    <xf numFmtId="41" fontId="1" fillId="0" borderId="4" xfId="2" applyNumberFormat="1" applyFont="1" applyBorder="1" applyAlignment="1">
      <alignment vertical="center" shrinkToFit="1"/>
    </xf>
    <xf numFmtId="49" fontId="1" fillId="0" borderId="2" xfId="0" applyNumberFormat="1" applyFont="1" applyBorder="1" applyAlignment="1">
      <alignment horizontal="center" vertical="center"/>
    </xf>
    <xf numFmtId="41" fontId="1" fillId="0" borderId="87" xfId="2" applyNumberFormat="1" applyFont="1" applyBorder="1" applyAlignment="1">
      <alignment horizontal="center" vertical="center" shrinkToFit="1"/>
    </xf>
    <xf numFmtId="41" fontId="1" fillId="0" borderId="4" xfId="2" applyNumberFormat="1" applyFont="1" applyBorder="1" applyAlignment="1">
      <alignment horizontal="center" vertical="center" shrinkToFit="1"/>
    </xf>
    <xf numFmtId="41" fontId="1" fillId="0" borderId="2" xfId="5" applyNumberFormat="1" applyBorder="1" applyAlignment="1">
      <alignment horizontal="right" vertical="center" shrinkToFit="1"/>
    </xf>
    <xf numFmtId="49" fontId="1" fillId="4" borderId="1" xfId="0" applyNumberFormat="1" applyFont="1" applyFill="1" applyBorder="1" applyAlignment="1">
      <alignment horizontal="center" vertical="center"/>
    </xf>
    <xf numFmtId="42" fontId="1" fillId="3" borderId="2" xfId="3" applyNumberFormat="1" applyFont="1" applyFill="1" applyBorder="1" applyAlignment="1">
      <alignment horizontal="center" vertical="center"/>
    </xf>
    <xf numFmtId="41" fontId="1" fillId="3" borderId="1" xfId="2" applyNumberFormat="1" applyFont="1" applyFill="1" applyBorder="1" applyAlignment="1">
      <alignment vertical="center" shrinkToFit="1"/>
    </xf>
    <xf numFmtId="42" fontId="1" fillId="0" borderId="1" xfId="3" applyNumberFormat="1" applyFont="1" applyBorder="1" applyAlignment="1">
      <alignment horizontal="center" vertical="center"/>
    </xf>
    <xf numFmtId="42" fontId="1" fillId="0" borderId="0" xfId="3" applyNumberFormat="1" applyFont="1">
      <alignment vertical="center"/>
    </xf>
    <xf numFmtId="41" fontId="1" fillId="0" borderId="0" xfId="2" applyNumberFormat="1" applyFont="1">
      <alignment vertical="center"/>
    </xf>
    <xf numFmtId="42" fontId="1" fillId="0" borderId="0" xfId="3" applyNumberFormat="1" applyFont="1" applyAlignment="1">
      <alignment horizontal="center" vertical="center"/>
    </xf>
    <xf numFmtId="176" fontId="43" fillId="0" borderId="0" xfId="0" applyNumberFormat="1" applyFont="1">
      <alignment vertical="center"/>
    </xf>
    <xf numFmtId="176" fontId="48" fillId="0" borderId="0" xfId="0" applyNumberFormat="1" applyFont="1" applyAlignment="1">
      <alignment vertical="center" wrapText="1"/>
    </xf>
    <xf numFmtId="176" fontId="43" fillId="0" borderId="0" xfId="0" applyNumberFormat="1" applyFont="1" applyAlignment="1">
      <alignment horizontal="left" vertical="center"/>
    </xf>
    <xf numFmtId="176" fontId="49" fillId="0" borderId="88" xfId="0" applyNumberFormat="1" applyFont="1" applyBorder="1" applyAlignment="1">
      <alignment horizontal="center" vertical="center"/>
    </xf>
    <xf numFmtId="176" fontId="49" fillId="0" borderId="89" xfId="0" applyNumberFormat="1" applyFont="1" applyBorder="1" applyAlignment="1">
      <alignment horizontal="center" vertical="center"/>
    </xf>
    <xf numFmtId="176" fontId="49" fillId="0" borderId="90" xfId="0" applyNumberFormat="1" applyFont="1" applyBorder="1" applyAlignment="1">
      <alignment horizontal="center" vertical="center"/>
    </xf>
    <xf numFmtId="176" fontId="44" fillId="0" borderId="91" xfId="0" applyNumberFormat="1" applyFont="1" applyBorder="1" applyAlignment="1">
      <alignment horizontal="center" vertical="center"/>
    </xf>
    <xf numFmtId="176" fontId="44" fillId="0" borderId="76" xfId="0" applyNumberFormat="1" applyFont="1" applyBorder="1">
      <alignment vertical="center"/>
    </xf>
    <xf numFmtId="176" fontId="44" fillId="0" borderId="92" xfId="0" applyNumberFormat="1" applyFont="1" applyBorder="1" applyAlignment="1">
      <alignment horizontal="center" vertical="center"/>
    </xf>
    <xf numFmtId="176" fontId="44" fillId="0" borderId="93" xfId="0" applyNumberFormat="1" applyFont="1" applyBorder="1" applyAlignment="1">
      <alignment horizontal="right" vertical="center"/>
    </xf>
    <xf numFmtId="176" fontId="43" fillId="0" borderId="94" xfId="0" applyNumberFormat="1" applyFont="1" applyBorder="1" applyAlignment="1">
      <alignment horizontal="distributed" vertical="center" readingOrder="1"/>
    </xf>
    <xf numFmtId="176" fontId="43" fillId="0" borderId="11" xfId="2" applyNumberFormat="1" applyFont="1" applyBorder="1" applyAlignment="1">
      <alignment horizontal="right" vertical="center" readingOrder="1"/>
    </xf>
    <xf numFmtId="176" fontId="43" fillId="0" borderId="30" xfId="0" applyNumberFormat="1" applyFont="1" applyBorder="1" applyAlignment="1">
      <alignment horizontal="distributed" vertical="center" readingOrder="1"/>
    </xf>
    <xf numFmtId="176" fontId="43" fillId="0" borderId="67" xfId="0" applyNumberFormat="1" applyFont="1" applyBorder="1" applyAlignment="1">
      <alignment horizontal="right" vertical="center" readingOrder="1"/>
    </xf>
    <xf numFmtId="176" fontId="43" fillId="0" borderId="72" xfId="0" applyNumberFormat="1" applyFont="1" applyBorder="1" applyAlignment="1">
      <alignment horizontal="distributed" vertical="center" readingOrder="1"/>
    </xf>
    <xf numFmtId="176" fontId="43" fillId="0" borderId="15" xfId="2" applyNumberFormat="1" applyFont="1" applyBorder="1" applyAlignment="1">
      <alignment horizontal="right" vertical="center" readingOrder="1"/>
    </xf>
    <xf numFmtId="176" fontId="43" fillId="0" borderId="29" xfId="0" applyNumberFormat="1" applyFont="1" applyBorder="1" applyAlignment="1">
      <alignment horizontal="distributed" vertical="center" readingOrder="1"/>
    </xf>
    <xf numFmtId="176" fontId="43" fillId="0" borderId="49" xfId="0" applyNumberFormat="1" applyFont="1" applyBorder="1" applyAlignment="1">
      <alignment horizontal="right" vertical="center" readingOrder="1"/>
    </xf>
    <xf numFmtId="176" fontId="43" fillId="0" borderId="95" xfId="0" applyNumberFormat="1" applyFont="1" applyBorder="1" applyAlignment="1">
      <alignment horizontal="distributed" vertical="center" readingOrder="1"/>
    </xf>
    <xf numFmtId="176" fontId="43" fillId="0" borderId="96" xfId="0" applyNumberFormat="1" applyFont="1" applyBorder="1" applyAlignment="1">
      <alignment horizontal="distributed" vertical="center" readingOrder="1"/>
    </xf>
    <xf numFmtId="176" fontId="43" fillId="0" borderId="97" xfId="0" applyNumberFormat="1" applyFont="1" applyBorder="1" applyAlignment="1">
      <alignment horizontal="right" vertical="center" readingOrder="1"/>
    </xf>
    <xf numFmtId="176" fontId="43" fillId="0" borderId="98" xfId="0" applyNumberFormat="1" applyFont="1" applyBorder="1" applyAlignment="1">
      <alignment horizontal="right" vertical="center" readingOrder="1"/>
    </xf>
    <xf numFmtId="176" fontId="43" fillId="0" borderId="83" xfId="0" applyNumberFormat="1" applyFont="1" applyBorder="1" applyAlignment="1">
      <alignment horizontal="right" vertical="center" readingOrder="1"/>
    </xf>
    <xf numFmtId="176" fontId="43" fillId="0" borderId="39" xfId="0" applyNumberFormat="1" applyFont="1" applyBorder="1" applyAlignment="1">
      <alignment horizontal="right" vertical="center" readingOrder="1"/>
    </xf>
    <xf numFmtId="176" fontId="43" fillId="0" borderId="99" xfId="0" applyNumberFormat="1" applyFont="1" applyBorder="1" applyAlignment="1">
      <alignment horizontal="distributed" vertical="center" readingOrder="1"/>
    </xf>
    <xf numFmtId="176" fontId="43" fillId="0" borderId="100" xfId="0" applyNumberFormat="1" applyFont="1" applyBorder="1" applyAlignment="1">
      <alignment horizontal="right" vertical="center" readingOrder="1"/>
    </xf>
    <xf numFmtId="176" fontId="43" fillId="0" borderId="23" xfId="0" applyNumberFormat="1" applyFont="1" applyBorder="1" applyAlignment="1">
      <alignment horizontal="distributed" vertical="center" readingOrder="1"/>
    </xf>
    <xf numFmtId="176" fontId="49" fillId="0" borderId="101" xfId="0" applyNumberFormat="1" applyFont="1" applyBorder="1" applyAlignment="1">
      <alignment horizontal="center" vertical="center"/>
    </xf>
    <xf numFmtId="176" fontId="44" fillId="0" borderId="102" xfId="0" applyNumberFormat="1" applyFont="1" applyBorder="1" applyAlignment="1">
      <alignment horizontal="center" vertical="center"/>
    </xf>
    <xf numFmtId="176" fontId="44" fillId="0" borderId="36" xfId="0" applyNumberFormat="1" applyFont="1" applyBorder="1">
      <alignment vertical="center"/>
    </xf>
    <xf numFmtId="176" fontId="44" fillId="0" borderId="37" xfId="0" applyNumberFormat="1" applyFont="1" applyBorder="1" applyAlignment="1">
      <alignment horizontal="center" vertical="center"/>
    </xf>
    <xf numFmtId="176" fontId="44" fillId="0" borderId="66" xfId="0" applyNumberFormat="1" applyFont="1" applyBorder="1" applyAlignment="1">
      <alignment horizontal="right" vertical="center"/>
    </xf>
    <xf numFmtId="176" fontId="43" fillId="0" borderId="103" xfId="0" applyNumberFormat="1" applyFont="1" applyBorder="1" applyAlignment="1">
      <alignment horizontal="distributed" vertical="center" readingOrder="1"/>
    </xf>
    <xf numFmtId="176" fontId="43" fillId="0" borderId="104" xfId="0" applyNumberFormat="1" applyFont="1" applyBorder="1" applyAlignment="1">
      <alignment horizontal="right" vertical="center" readingOrder="1"/>
    </xf>
    <xf numFmtId="176" fontId="43" fillId="0" borderId="12" xfId="0" applyNumberFormat="1" applyFont="1" applyBorder="1" applyAlignment="1">
      <alignment horizontal="distributed" vertical="center" wrapText="1" readingOrder="1"/>
    </xf>
    <xf numFmtId="176" fontId="43" fillId="0" borderId="105" xfId="0" applyNumberFormat="1" applyFont="1" applyBorder="1" applyAlignment="1">
      <alignment horizontal="distributed" vertical="center" readingOrder="1"/>
    </xf>
    <xf numFmtId="176" fontId="43" fillId="0" borderId="0" xfId="2" applyNumberFormat="1" applyFont="1">
      <alignment vertical="center"/>
    </xf>
    <xf numFmtId="176" fontId="43" fillId="0" borderId="16" xfId="0" applyNumberFormat="1" applyFont="1" applyBorder="1" applyAlignment="1">
      <alignment horizontal="distributed" vertical="center" readingOrder="1"/>
    </xf>
    <xf numFmtId="176" fontId="43" fillId="0" borderId="86" xfId="0" applyNumberFormat="1" applyFont="1" applyBorder="1" applyAlignment="1">
      <alignment horizontal="distributed" vertical="center" readingOrder="1"/>
    </xf>
    <xf numFmtId="176" fontId="43" fillId="0" borderId="28" xfId="2" applyNumberFormat="1" applyFont="1" applyBorder="1" applyAlignment="1">
      <alignment horizontal="right" vertical="center" readingOrder="1"/>
    </xf>
    <xf numFmtId="176" fontId="43" fillId="0" borderId="106" xfId="0" applyNumberFormat="1" applyFont="1" applyBorder="1" applyAlignment="1">
      <alignment horizontal="distributed" vertical="center" readingOrder="1"/>
    </xf>
    <xf numFmtId="176" fontId="43" fillId="0" borderId="107" xfId="0" applyNumberFormat="1" applyFont="1" applyBorder="1" applyAlignment="1">
      <alignment horizontal="right" vertical="center" readingOrder="1"/>
    </xf>
    <xf numFmtId="176" fontId="49" fillId="0" borderId="108" xfId="0" applyNumberFormat="1" applyFont="1" applyBorder="1" applyAlignment="1">
      <alignment horizontal="center" vertical="center"/>
    </xf>
    <xf numFmtId="176" fontId="43" fillId="0" borderId="109" xfId="0" applyNumberFormat="1" applyFont="1" applyBorder="1" applyAlignment="1">
      <alignment horizontal="distributed" vertical="center" readingOrder="1"/>
    </xf>
    <xf numFmtId="176" fontId="43" fillId="0" borderId="52" xfId="0" applyNumberFormat="1" applyFont="1" applyBorder="1" applyAlignment="1">
      <alignment horizontal="right" vertical="center" readingOrder="1"/>
    </xf>
    <xf numFmtId="176" fontId="43" fillId="0" borderId="54" xfId="0" applyNumberFormat="1" applyFont="1" applyBorder="1" applyAlignment="1">
      <alignment horizontal="distributed" vertical="center" readingOrder="1"/>
    </xf>
    <xf numFmtId="176" fontId="43" fillId="0" borderId="70" xfId="0" applyNumberFormat="1" applyFont="1" applyBorder="1" applyAlignment="1">
      <alignment horizontal="right" vertical="center" readingOrder="1"/>
    </xf>
    <xf numFmtId="0" fontId="43" fillId="0" borderId="0" xfId="0" applyNumberFormat="1" applyFont="1" applyAlignment="1">
      <alignment horizontal="center" vertical="center"/>
    </xf>
    <xf numFmtId="0" fontId="43" fillId="0" borderId="0" xfId="0" applyNumberFormat="1" applyFont="1" applyAlignment="1">
      <alignment horizontal="center" vertical="center" shrinkToFit="1"/>
    </xf>
    <xf numFmtId="176" fontId="43" fillId="0" borderId="0" xfId="0" applyNumberFormat="1" applyFont="1" applyAlignment="1">
      <alignment horizontal="center" vertical="center"/>
    </xf>
    <xf numFmtId="0" fontId="1" fillId="0" borderId="0" xfId="0" applyNumberFormat="1" applyFont="1">
      <alignment vertical="center"/>
    </xf>
    <xf numFmtId="176" fontId="1" fillId="0" borderId="0" xfId="0" applyNumberFormat="1" applyFont="1" applyAlignment="1">
      <alignment horizontal="right" vertical="center"/>
    </xf>
    <xf numFmtId="176" fontId="1" fillId="0" borderId="0" xfId="0" applyNumberFormat="1" applyFont="1" applyAlignment="1">
      <alignment vertical="center" shrinkToFit="1"/>
    </xf>
    <xf numFmtId="0" fontId="50" fillId="0" borderId="0" xfId="0" applyNumberFormat="1" applyFont="1" applyAlignment="1">
      <alignment horizontal="center" vertical="center"/>
    </xf>
    <xf numFmtId="41" fontId="43" fillId="0" borderId="0" xfId="2" applyNumberFormat="1" applyFont="1">
      <alignment vertical="center"/>
    </xf>
    <xf numFmtId="0" fontId="43" fillId="0" borderId="0" xfId="0" applyNumberFormat="1" applyFont="1">
      <alignment vertical="center"/>
    </xf>
    <xf numFmtId="41" fontId="51" fillId="0" borderId="3" xfId="2" applyNumberFormat="1" applyFont="1" applyBorder="1" applyAlignment="1">
      <alignment horizontal="center" vertical="center"/>
    </xf>
    <xf numFmtId="41" fontId="51" fillId="0" borderId="3" xfId="2" applyNumberFormat="1" applyFont="1" applyBorder="1" applyAlignment="1">
      <alignment horizontal="center" vertical="center" shrinkToFit="1"/>
    </xf>
    <xf numFmtId="176" fontId="51" fillId="0" borderId="3" xfId="2" applyNumberFormat="1" applyFont="1" applyBorder="1" applyAlignment="1">
      <alignment horizontal="center" vertical="center"/>
    </xf>
    <xf numFmtId="176" fontId="51" fillId="0" borderId="3" xfId="2" applyNumberFormat="1" applyFont="1" applyBorder="1" applyAlignment="1">
      <alignment horizontal="right" vertical="center"/>
    </xf>
    <xf numFmtId="176" fontId="51" fillId="0" borderId="3" xfId="2" applyNumberFormat="1" applyFont="1" applyBorder="1" applyAlignment="1">
      <alignment horizontal="center" vertical="center" shrinkToFit="1"/>
    </xf>
    <xf numFmtId="0" fontId="52" fillId="0" borderId="3" xfId="2" applyNumberFormat="1" applyFont="1" applyBorder="1" applyAlignment="1">
      <alignment horizontal="center" vertical="center"/>
    </xf>
    <xf numFmtId="41" fontId="51" fillId="0" borderId="3" xfId="2" applyNumberFormat="1" applyFont="1" applyBorder="1">
      <alignment vertical="center"/>
    </xf>
    <xf numFmtId="0" fontId="43" fillId="0" borderId="3" xfId="0" applyNumberFormat="1" applyFont="1" applyBorder="1">
      <alignment vertical="center"/>
    </xf>
    <xf numFmtId="0" fontId="1" fillId="0" borderId="3" xfId="0" applyNumberFormat="1" applyFont="1" applyBorder="1" applyAlignment="1">
      <alignment horizontal="right" vertical="center"/>
    </xf>
    <xf numFmtId="0" fontId="50" fillId="0" borderId="16" xfId="0" applyNumberFormat="1" applyFont="1" applyBorder="1" applyAlignment="1">
      <alignment horizontal="center" vertical="center"/>
    </xf>
    <xf numFmtId="0" fontId="50" fillId="0" borderId="18" xfId="0" applyNumberFormat="1" applyFont="1" applyBorder="1" applyAlignment="1">
      <alignment horizontal="center" vertical="center"/>
    </xf>
    <xf numFmtId="0" fontId="50" fillId="0" borderId="18" xfId="0" applyNumberFormat="1" applyFont="1" applyBorder="1" applyAlignment="1">
      <alignment horizontal="center" vertical="center" shrinkToFit="1"/>
    </xf>
    <xf numFmtId="0" fontId="50" fillId="0" borderId="6" xfId="0" applyNumberFormat="1" applyFont="1" applyBorder="1" applyAlignment="1">
      <alignment horizontal="center" vertical="center" wrapText="1"/>
    </xf>
    <xf numFmtId="0" fontId="50" fillId="0" borderId="6" xfId="0" applyNumberFormat="1" applyFont="1" applyBorder="1" applyAlignment="1">
      <alignment horizontal="center" vertical="center" shrinkToFit="1"/>
    </xf>
    <xf numFmtId="3" fontId="1" fillId="0" borderId="73" xfId="2" applyNumberFormat="1" applyFont="1" applyBorder="1" applyAlignment="1">
      <alignment vertical="center" shrinkToFit="1"/>
    </xf>
    <xf numFmtId="178" fontId="1" fillId="0" borderId="73" xfId="2" applyNumberFormat="1" applyFont="1" applyBorder="1" applyAlignment="1">
      <alignment horizontal="right" vertical="center" shrinkToFit="1"/>
    </xf>
    <xf numFmtId="176" fontId="1" fillId="0" borderId="75" xfId="2" applyNumberFormat="1" applyFont="1" applyBorder="1" applyAlignment="1">
      <alignment horizontal="right" vertical="center" shrinkToFit="1"/>
    </xf>
    <xf numFmtId="0" fontId="43" fillId="0" borderId="110" xfId="0" applyNumberFormat="1" applyFont="1" applyBorder="1">
      <alignment vertical="center"/>
    </xf>
    <xf numFmtId="41" fontId="43" fillId="0" borderId="0" xfId="0" applyNumberFormat="1" applyFont="1">
      <alignment vertical="center"/>
    </xf>
    <xf numFmtId="9" fontId="1" fillId="13" borderId="77" xfId="0" applyNumberFormat="1" applyFont="1" applyFill="1" applyBorder="1" applyAlignment="1">
      <alignment horizontal="center" vertical="center" shrinkToFit="1"/>
    </xf>
    <xf numFmtId="9" fontId="1" fillId="13" borderId="78" xfId="0" applyNumberFormat="1" applyFont="1" applyFill="1" applyBorder="1" applyAlignment="1">
      <alignment horizontal="center" vertical="center" shrinkToFit="1"/>
    </xf>
    <xf numFmtId="41" fontId="1" fillId="13" borderId="78" xfId="2" applyNumberFormat="1" applyFont="1" applyFill="1" applyBorder="1" applyAlignment="1">
      <alignment horizontal="right" vertical="center" shrinkToFit="1"/>
    </xf>
    <xf numFmtId="41" fontId="1" fillId="13" borderId="19" xfId="2" applyNumberFormat="1" applyFont="1" applyFill="1" applyBorder="1" applyAlignment="1">
      <alignment horizontal="right" vertical="center" shrinkToFit="1"/>
    </xf>
    <xf numFmtId="178" fontId="1" fillId="13" borderId="78" xfId="2" applyNumberFormat="1" applyFont="1" applyFill="1" applyBorder="1" applyAlignment="1">
      <alignment horizontal="right" vertical="center" shrinkToFit="1"/>
    </xf>
    <xf numFmtId="176" fontId="1" fillId="13" borderId="9" xfId="2" applyNumberFormat="1" applyFont="1" applyFill="1" applyBorder="1" applyAlignment="1">
      <alignment horizontal="right" vertical="center" shrinkToFit="1"/>
    </xf>
    <xf numFmtId="0" fontId="1" fillId="13" borderId="14" xfId="0" applyNumberFormat="1" applyFont="1" applyFill="1" applyBorder="1" applyAlignment="1">
      <alignment vertical="center" shrinkToFit="1"/>
    </xf>
    <xf numFmtId="187" fontId="53" fillId="13" borderId="15" xfId="0" applyNumberFormat="1" applyFont="1" applyFill="1" applyBorder="1" applyAlignment="1">
      <alignment vertical="center" shrinkToFit="1"/>
    </xf>
    <xf numFmtId="9" fontId="1" fillId="0" borderId="12" xfId="0" applyNumberFormat="1" applyFont="1" applyBorder="1" applyAlignment="1">
      <alignment horizontal="center" vertical="center" shrinkToFit="1"/>
    </xf>
    <xf numFmtId="9" fontId="1" fillId="14" borderId="8" xfId="0" applyNumberFormat="1" applyFont="1" applyFill="1" applyBorder="1" applyAlignment="1">
      <alignment horizontal="center" vertical="center" shrinkToFit="1"/>
    </xf>
    <xf numFmtId="41" fontId="1" fillId="14" borderId="8" xfId="2" applyNumberFormat="1" applyFont="1" applyFill="1" applyBorder="1" applyAlignment="1">
      <alignment horizontal="right" vertical="center" shrinkToFit="1"/>
    </xf>
    <xf numFmtId="178" fontId="1" fillId="14" borderId="8" xfId="2" applyNumberFormat="1" applyFont="1" applyFill="1" applyBorder="1" applyAlignment="1">
      <alignment horizontal="right" vertical="center" shrinkToFit="1"/>
    </xf>
    <xf numFmtId="176" fontId="1" fillId="14" borderId="8" xfId="2" applyNumberFormat="1" applyFont="1" applyFill="1" applyBorder="1" applyAlignment="1">
      <alignment horizontal="right" vertical="center" shrinkToFit="1"/>
    </xf>
    <xf numFmtId="0" fontId="1" fillId="14" borderId="14" xfId="0" applyNumberFormat="1" applyFont="1" applyFill="1" applyBorder="1" applyAlignment="1">
      <alignment vertical="center" shrinkToFit="1"/>
    </xf>
    <xf numFmtId="187" fontId="53" fillId="14" borderId="15" xfId="0" applyNumberFormat="1" applyFont="1" applyFill="1" applyBorder="1" applyAlignment="1">
      <alignment vertical="center" shrinkToFit="1"/>
    </xf>
    <xf numFmtId="9" fontId="1" fillId="0" borderId="8" xfId="0" applyNumberFormat="1" applyFont="1" applyBorder="1" applyAlignment="1">
      <alignment horizontal="center" vertical="center" shrinkToFit="1"/>
    </xf>
    <xf numFmtId="41" fontId="1" fillId="0" borderId="8" xfId="2" applyNumberFormat="1" applyFont="1" applyBorder="1" applyAlignment="1">
      <alignment horizontal="right" vertical="center" shrinkToFit="1"/>
    </xf>
    <xf numFmtId="178" fontId="1" fillId="0" borderId="8" xfId="2" applyNumberFormat="1" applyFont="1" applyBorder="1" applyAlignment="1">
      <alignment horizontal="right" vertical="center" shrinkToFit="1"/>
    </xf>
    <xf numFmtId="176" fontId="1" fillId="0" borderId="8" xfId="2" applyNumberFormat="1" applyFont="1" applyBorder="1" applyAlignment="1">
      <alignment horizontal="right" vertical="center" shrinkToFit="1"/>
    </xf>
    <xf numFmtId="176" fontId="1" fillId="0" borderId="13" xfId="2" applyNumberFormat="1" applyFont="1" applyBorder="1" applyAlignment="1">
      <alignment horizontal="right" vertical="center" shrinkToFit="1"/>
    </xf>
    <xf numFmtId="0" fontId="1" fillId="0" borderId="13" xfId="0" applyNumberFormat="1" applyFont="1" applyBorder="1" applyAlignment="1">
      <alignment vertical="center" shrinkToFit="1"/>
    </xf>
    <xf numFmtId="0" fontId="1" fillId="0" borderId="14" xfId="0" applyNumberFormat="1" applyFont="1" applyBorder="1" applyAlignment="1">
      <alignment vertical="center" shrinkToFit="1"/>
    </xf>
    <xf numFmtId="183" fontId="1" fillId="0" borderId="14" xfId="0" applyNumberFormat="1" applyFont="1" applyBorder="1" applyAlignment="1">
      <alignment vertical="center" shrinkToFit="1"/>
    </xf>
    <xf numFmtId="180" fontId="1" fillId="0" borderId="14" xfId="0" applyNumberFormat="1" applyFont="1" applyBorder="1" applyAlignment="1">
      <alignment vertical="center" shrinkToFit="1"/>
    </xf>
    <xf numFmtId="181" fontId="1" fillId="0" borderId="14" xfId="0" applyNumberFormat="1" applyFont="1" applyBorder="1" applyAlignment="1">
      <alignment vertical="center" shrinkToFit="1"/>
    </xf>
    <xf numFmtId="187" fontId="53" fillId="0" borderId="15" xfId="0" applyNumberFormat="1" applyFont="1" applyBorder="1" applyAlignment="1">
      <alignment vertical="center" shrinkToFit="1"/>
    </xf>
    <xf numFmtId="187" fontId="1" fillId="0" borderId="15" xfId="0" applyNumberFormat="1" applyFont="1" applyBorder="1" applyAlignment="1">
      <alignment vertical="center" shrinkToFit="1"/>
    </xf>
    <xf numFmtId="0" fontId="1" fillId="0" borderId="13" xfId="0" applyNumberFormat="1" applyFont="1" applyBorder="1" applyAlignment="1">
      <alignment horizontal="right" vertical="center" shrinkToFit="1"/>
    </xf>
    <xf numFmtId="9" fontId="1" fillId="0" borderId="14" xfId="1" applyNumberFormat="1" applyFont="1" applyBorder="1" applyAlignment="1">
      <alignment vertical="center" shrinkToFit="1"/>
    </xf>
    <xf numFmtId="180" fontId="1" fillId="0" borderId="14" xfId="0" quotePrefix="1" applyNumberFormat="1" applyFont="1" applyBorder="1" applyAlignment="1">
      <alignment vertical="center" shrinkToFit="1"/>
    </xf>
    <xf numFmtId="0" fontId="1" fillId="0" borderId="14" xfId="0" applyNumberFormat="1" applyFont="1" applyBorder="1">
      <alignment vertical="center"/>
    </xf>
    <xf numFmtId="43" fontId="43" fillId="0" borderId="0" xfId="2" applyNumberFormat="1" applyFont="1">
      <alignment vertical="center"/>
    </xf>
    <xf numFmtId="188" fontId="1" fillId="0" borderId="14" xfId="1" applyNumberFormat="1" applyFont="1" applyBorder="1" applyAlignment="1">
      <alignment vertical="center" shrinkToFit="1"/>
    </xf>
    <xf numFmtId="184" fontId="1" fillId="0" borderId="14" xfId="1" applyNumberFormat="1" applyFont="1" applyBorder="1" applyAlignment="1">
      <alignment vertical="center" shrinkToFit="1"/>
    </xf>
    <xf numFmtId="10" fontId="1" fillId="0" borderId="14" xfId="1" applyNumberFormat="1" applyFont="1" applyBorder="1" applyAlignment="1">
      <alignment vertical="center" shrinkToFit="1"/>
    </xf>
    <xf numFmtId="176" fontId="1" fillId="0" borderId="22" xfId="2" applyNumberFormat="1" applyFont="1" applyBorder="1" applyAlignment="1">
      <alignment horizontal="right" vertical="center" shrinkToFit="1"/>
    </xf>
    <xf numFmtId="182" fontId="1" fillId="0" borderId="14" xfId="0" applyNumberFormat="1" applyFont="1" applyBorder="1" applyAlignment="1">
      <alignment vertical="center" shrinkToFit="1"/>
    </xf>
    <xf numFmtId="0" fontId="1" fillId="0" borderId="14" xfId="0" applyNumberFormat="1" applyFont="1" applyBorder="1" applyAlignment="1">
      <alignment horizontal="right" vertical="center" shrinkToFit="1"/>
    </xf>
    <xf numFmtId="9" fontId="1" fillId="13" borderId="12" xfId="0" applyNumberFormat="1" applyFont="1" applyFill="1" applyBorder="1" applyAlignment="1">
      <alignment horizontal="center" vertical="center" shrinkToFit="1"/>
    </xf>
    <xf numFmtId="9" fontId="1" fillId="13" borderId="8" xfId="0" applyNumberFormat="1" applyFont="1" applyFill="1" applyBorder="1" applyAlignment="1">
      <alignment horizontal="center" vertical="center" shrinkToFit="1"/>
    </xf>
    <xf numFmtId="41" fontId="1" fillId="13" borderId="8" xfId="2" applyNumberFormat="1" applyFont="1" applyFill="1" applyBorder="1" applyAlignment="1">
      <alignment horizontal="right" vertical="center" shrinkToFit="1"/>
    </xf>
    <xf numFmtId="178" fontId="1" fillId="13" borderId="8" xfId="2" applyNumberFormat="1" applyFont="1" applyFill="1" applyBorder="1" applyAlignment="1">
      <alignment horizontal="right" vertical="center" shrinkToFit="1"/>
    </xf>
    <xf numFmtId="176" fontId="1" fillId="13" borderId="8" xfId="2" applyNumberFormat="1" applyFont="1" applyFill="1" applyBorder="1" applyAlignment="1">
      <alignment horizontal="right" vertical="center" shrinkToFit="1"/>
    </xf>
    <xf numFmtId="185" fontId="1" fillId="0" borderId="14" xfId="0" applyNumberFormat="1" applyFont="1" applyBorder="1" applyAlignment="1">
      <alignment vertical="center" shrinkToFit="1"/>
    </xf>
    <xf numFmtId="176" fontId="1" fillId="14" borderId="8" xfId="0" applyNumberFormat="1" applyFont="1" applyFill="1" applyBorder="1" applyAlignment="1">
      <alignment vertical="center" shrinkToFit="1"/>
    </xf>
    <xf numFmtId="186" fontId="1" fillId="0" borderId="14" xfId="0" applyNumberFormat="1" applyFont="1" applyBorder="1" applyAlignment="1">
      <alignment vertical="center" shrinkToFit="1"/>
    </xf>
    <xf numFmtId="41" fontId="54" fillId="0" borderId="0" xfId="2" applyNumberFormat="1" applyFont="1">
      <alignment vertical="center"/>
    </xf>
    <xf numFmtId="9" fontId="1" fillId="0" borderId="16" xfId="0" applyNumberFormat="1" applyFont="1" applyBorder="1" applyAlignment="1">
      <alignment horizontal="center" vertical="center" shrinkToFit="1"/>
    </xf>
    <xf numFmtId="9" fontId="1" fillId="0" borderId="18" xfId="0" applyNumberFormat="1" applyFont="1" applyBorder="1" applyAlignment="1">
      <alignment horizontal="center" vertical="center" shrinkToFit="1"/>
    </xf>
    <xf numFmtId="178" fontId="1" fillId="0" borderId="18" xfId="2" applyNumberFormat="1" applyFont="1" applyBorder="1" applyAlignment="1">
      <alignment horizontal="right" vertical="center" shrinkToFit="1"/>
    </xf>
    <xf numFmtId="176" fontId="1" fillId="0" borderId="18" xfId="2" applyNumberFormat="1" applyFont="1" applyBorder="1" applyAlignment="1">
      <alignment horizontal="right" vertical="center" shrinkToFit="1"/>
    </xf>
    <xf numFmtId="0" fontId="1" fillId="0" borderId="111" xfId="0" applyNumberFormat="1" applyFont="1" applyBorder="1" applyAlignment="1">
      <alignment vertical="center" shrinkToFit="1"/>
    </xf>
    <xf numFmtId="0" fontId="1" fillId="0" borderId="12" xfId="0" applyNumberFormat="1" applyFont="1" applyBorder="1" applyAlignment="1">
      <alignment horizontal="center" vertical="center"/>
    </xf>
    <xf numFmtId="0" fontId="1" fillId="0" borderId="8" xfId="0" applyNumberFormat="1" applyFont="1" applyBorder="1" applyAlignment="1">
      <alignment horizontal="center" vertical="center"/>
    </xf>
    <xf numFmtId="0" fontId="1" fillId="0" borderId="8" xfId="0" applyNumberFormat="1" applyFont="1" applyBorder="1" applyAlignment="1">
      <alignment horizontal="center" vertical="center" shrinkToFit="1"/>
    </xf>
    <xf numFmtId="178" fontId="1" fillId="0" borderId="8" xfId="0" applyNumberFormat="1" applyFont="1" applyBorder="1" applyAlignment="1">
      <alignment vertical="center" shrinkToFit="1"/>
    </xf>
    <xf numFmtId="176" fontId="1" fillId="0" borderId="8" xfId="0" applyNumberFormat="1" applyFont="1" applyBorder="1" applyAlignment="1">
      <alignment vertical="center" shrinkToFit="1"/>
    </xf>
    <xf numFmtId="0" fontId="1" fillId="0" borderId="13" xfId="0" applyNumberFormat="1" applyFont="1" applyBorder="1" applyAlignment="1">
      <alignment horizontal="left" vertical="center"/>
    </xf>
    <xf numFmtId="41" fontId="1" fillId="0" borderId="14" xfId="2" applyNumberFormat="1" applyFont="1" applyBorder="1">
      <alignment vertical="center"/>
    </xf>
    <xf numFmtId="0" fontId="1" fillId="0" borderId="13" xfId="0" applyNumberFormat="1" applyFont="1" applyBorder="1" applyAlignment="1">
      <alignment horizontal="right" vertical="center"/>
    </xf>
    <xf numFmtId="0" fontId="1" fillId="14" borderId="8" xfId="0" applyNumberFormat="1" applyFont="1" applyFill="1" applyBorder="1" applyAlignment="1">
      <alignment horizontal="center" vertical="center"/>
    </xf>
    <xf numFmtId="0" fontId="1" fillId="14" borderId="8" xfId="0" applyNumberFormat="1" applyFont="1" applyFill="1" applyBorder="1" applyAlignment="1">
      <alignment horizontal="center" vertical="center" shrinkToFit="1"/>
    </xf>
    <xf numFmtId="178" fontId="1" fillId="14" borderId="8" xfId="0" applyNumberFormat="1" applyFont="1" applyFill="1" applyBorder="1" applyAlignment="1">
      <alignment vertical="center" shrinkToFit="1"/>
    </xf>
    <xf numFmtId="41" fontId="1" fillId="14" borderId="14" xfId="2" applyNumberFormat="1" applyFont="1" applyFill="1" applyBorder="1">
      <alignment vertical="center"/>
    </xf>
    <xf numFmtId="187" fontId="53" fillId="14" borderId="15" xfId="2" applyNumberFormat="1" applyFont="1" applyFill="1" applyBorder="1">
      <alignment vertical="center"/>
    </xf>
    <xf numFmtId="0" fontId="1" fillId="0" borderId="14" xfId="0" applyNumberFormat="1" applyFont="1" applyBorder="1" applyAlignment="1">
      <alignment horizontal="left" vertical="center"/>
    </xf>
    <xf numFmtId="0" fontId="1" fillId="0" borderId="14" xfId="0" applyNumberFormat="1" applyFont="1" applyBorder="1" applyAlignment="1">
      <alignment horizontal="right" vertical="center"/>
    </xf>
    <xf numFmtId="0" fontId="1" fillId="13" borderId="12" xfId="0" applyNumberFormat="1" applyFont="1" applyFill="1" applyBorder="1" applyAlignment="1">
      <alignment horizontal="center" vertical="center"/>
    </xf>
    <xf numFmtId="0" fontId="1" fillId="13" borderId="8" xfId="0" applyNumberFormat="1" applyFont="1" applyFill="1" applyBorder="1" applyAlignment="1">
      <alignment horizontal="center" vertical="center"/>
    </xf>
    <xf numFmtId="0" fontId="1" fillId="13" borderId="8" xfId="0" applyNumberFormat="1" applyFont="1" applyFill="1" applyBorder="1" applyAlignment="1">
      <alignment horizontal="center" vertical="center" shrinkToFit="1"/>
    </xf>
    <xf numFmtId="178" fontId="1" fillId="13" borderId="8" xfId="0" applyNumberFormat="1" applyFont="1" applyFill="1" applyBorder="1" applyAlignment="1">
      <alignment vertical="center" shrinkToFit="1"/>
    </xf>
    <xf numFmtId="176" fontId="1" fillId="13" borderId="8" xfId="0" applyNumberFormat="1" applyFont="1" applyFill="1" applyBorder="1" applyAlignment="1">
      <alignment vertical="center" shrinkToFit="1"/>
    </xf>
    <xf numFmtId="41" fontId="1" fillId="13" borderId="14" xfId="2" applyNumberFormat="1" applyFont="1" applyFill="1" applyBorder="1">
      <alignment vertical="center"/>
    </xf>
    <xf numFmtId="187" fontId="53" fillId="13" borderId="15" xfId="2" applyNumberFormat="1" applyFont="1" applyFill="1" applyBorder="1">
      <alignment vertical="center"/>
    </xf>
    <xf numFmtId="0" fontId="1" fillId="0" borderId="16" xfId="0" applyNumberFormat="1" applyFont="1" applyBorder="1" applyAlignment="1">
      <alignment horizontal="center" vertical="center"/>
    </xf>
    <xf numFmtId="0" fontId="1" fillId="0" borderId="84" xfId="0" applyNumberFormat="1" applyFont="1" applyBorder="1" applyAlignment="1">
      <alignment horizontal="center" vertical="center"/>
    </xf>
    <xf numFmtId="0" fontId="1" fillId="0" borderId="25" xfId="0" applyNumberFormat="1" applyFont="1" applyBorder="1" applyAlignment="1">
      <alignment horizontal="center" vertical="center"/>
    </xf>
    <xf numFmtId="0" fontId="1" fillId="0" borderId="25" xfId="0" applyNumberFormat="1" applyFont="1" applyBorder="1" applyAlignment="1">
      <alignment horizontal="center" vertical="center" shrinkToFit="1"/>
    </xf>
    <xf numFmtId="41" fontId="1" fillId="0" borderId="25" xfId="2" applyNumberFormat="1" applyFont="1" applyBorder="1" applyAlignment="1">
      <alignment horizontal="right" vertical="center" shrinkToFit="1"/>
    </xf>
    <xf numFmtId="0" fontId="1" fillId="0" borderId="26" xfId="0" applyNumberFormat="1" applyFont="1" applyBorder="1" applyAlignment="1">
      <alignment horizontal="left" vertical="center"/>
    </xf>
    <xf numFmtId="0" fontId="1" fillId="0" borderId="112" xfId="0" applyNumberFormat="1" applyFont="1" applyBorder="1" applyAlignment="1">
      <alignment horizontal="center" vertical="center"/>
    </xf>
    <xf numFmtId="0" fontId="1" fillId="0" borderId="113" xfId="0" applyNumberFormat="1" applyFont="1" applyBorder="1" applyAlignment="1">
      <alignment horizontal="center" vertical="center"/>
    </xf>
    <xf numFmtId="41" fontId="1" fillId="0" borderId="92" xfId="2" applyNumberFormat="1" applyFont="1" applyBorder="1" applyAlignment="1">
      <alignment horizontal="right" vertical="center" shrinkToFit="1"/>
    </xf>
    <xf numFmtId="41" fontId="1" fillId="0" borderId="73" xfId="2" applyNumberFormat="1" applyFont="1" applyBorder="1" applyAlignment="1">
      <alignment horizontal="right" vertical="center" shrinkToFit="1"/>
    </xf>
    <xf numFmtId="4" fontId="1" fillId="0" borderId="73" xfId="2" applyNumberFormat="1" applyFont="1" applyBorder="1" applyAlignment="1">
      <alignment horizontal="right" vertical="center" shrinkToFit="1"/>
    </xf>
    <xf numFmtId="4" fontId="1" fillId="13" borderId="7" xfId="2" applyNumberFormat="1" applyFont="1" applyFill="1" applyBorder="1" applyAlignment="1">
      <alignment horizontal="right" vertical="center" shrinkToFit="1"/>
    </xf>
    <xf numFmtId="4" fontId="1" fillId="14" borderId="8" xfId="2" applyNumberFormat="1" applyFont="1" applyFill="1" applyBorder="1" applyAlignment="1">
      <alignment horizontal="right" vertical="center" shrinkToFit="1"/>
    </xf>
    <xf numFmtId="4" fontId="1" fillId="0" borderId="8" xfId="2" applyNumberFormat="1" applyFont="1" applyBorder="1" applyAlignment="1">
      <alignment horizontal="right" vertical="center" shrinkToFit="1"/>
    </xf>
    <xf numFmtId="4" fontId="1" fillId="13" borderId="8" xfId="2" applyNumberFormat="1" applyFont="1" applyFill="1" applyBorder="1" applyAlignment="1">
      <alignment horizontal="right" vertical="center" shrinkToFit="1"/>
    </xf>
    <xf numFmtId="41" fontId="1" fillId="13" borderId="8" xfId="2" applyNumberFormat="1" applyFont="1" applyFill="1" applyBorder="1" applyAlignment="1">
      <alignment horizontal="center" vertical="center" shrinkToFit="1"/>
    </xf>
    <xf numFmtId="41" fontId="1" fillId="14" borderId="8" xfId="2" applyNumberFormat="1" applyFont="1" applyFill="1" applyBorder="1" applyAlignment="1">
      <alignment horizontal="center" vertical="center" shrinkToFit="1"/>
    </xf>
    <xf numFmtId="41" fontId="1" fillId="0" borderId="8" xfId="2" applyNumberFormat="1" applyFont="1" applyBorder="1" applyAlignment="1">
      <alignment vertical="center" shrinkToFit="1"/>
    </xf>
    <xf numFmtId="41" fontId="1" fillId="13" borderId="8" xfId="2" applyNumberFormat="1" applyFont="1" applyFill="1" applyBorder="1" applyAlignment="1">
      <alignment vertical="center" shrinkToFit="1"/>
    </xf>
    <xf numFmtId="4" fontId="1" fillId="0" borderId="8" xfId="0" applyNumberFormat="1" applyFont="1" applyBorder="1" applyAlignment="1">
      <alignment vertical="center" shrinkToFit="1"/>
    </xf>
    <xf numFmtId="0" fontId="1" fillId="14" borderId="14" xfId="0" applyNumberFormat="1" applyFont="1" applyFill="1" applyBorder="1" applyAlignment="1">
      <alignment horizontal="center" vertical="center"/>
    </xf>
    <xf numFmtId="41" fontId="1" fillId="0" borderId="25" xfId="2" applyNumberFormat="1" applyFont="1" applyBorder="1" applyAlignment="1">
      <alignment vertical="center" shrinkToFit="1"/>
    </xf>
    <xf numFmtId="4" fontId="1" fillId="0" borderId="25" xfId="0" applyNumberFormat="1" applyFont="1" applyBorder="1" applyAlignment="1">
      <alignment vertical="center" shrinkToFit="1"/>
    </xf>
    <xf numFmtId="0" fontId="1" fillId="13" borderId="20" xfId="0" applyNumberFormat="1" applyFont="1" applyFill="1" applyBorder="1" applyAlignment="1">
      <alignment horizontal="center" vertical="center" shrinkToFit="1"/>
    </xf>
    <xf numFmtId="0" fontId="1" fillId="13" borderId="7" xfId="0" applyNumberFormat="1" applyFont="1" applyFill="1" applyBorder="1" applyAlignment="1">
      <alignment horizontal="center" vertical="center" shrinkToFit="1"/>
    </xf>
    <xf numFmtId="0" fontId="1" fillId="0" borderId="12" xfId="0" applyNumberFormat="1" applyFont="1" applyBorder="1" applyAlignment="1">
      <alignment horizontal="center" vertical="center" shrinkToFit="1"/>
    </xf>
    <xf numFmtId="0" fontId="1" fillId="13" borderId="12" xfId="0" applyNumberFormat="1" applyFont="1" applyFill="1" applyBorder="1" applyAlignment="1">
      <alignment horizontal="center" vertical="center" shrinkToFit="1"/>
    </xf>
    <xf numFmtId="0" fontId="1" fillId="0" borderId="12" xfId="0" applyNumberFormat="1" applyFont="1" applyBorder="1">
      <alignment vertical="center"/>
    </xf>
    <xf numFmtId="0" fontId="1" fillId="0" borderId="8" xfId="0" applyNumberFormat="1" applyFont="1" applyBorder="1">
      <alignment vertical="center"/>
    </xf>
    <xf numFmtId="189" fontId="1" fillId="0" borderId="14" xfId="0" applyNumberFormat="1" applyFont="1" applyBorder="1" applyAlignment="1">
      <alignment vertical="center" shrinkToFit="1"/>
    </xf>
    <xf numFmtId="176" fontId="1" fillId="0" borderId="73" xfId="2" applyNumberFormat="1" applyFont="1" applyBorder="1" applyAlignment="1">
      <alignment horizontal="right" vertical="center" shrinkToFit="1"/>
    </xf>
    <xf numFmtId="176" fontId="50" fillId="0" borderId="110" xfId="2" applyNumberFormat="1" applyFont="1" applyBorder="1">
      <alignment vertical="center"/>
    </xf>
    <xf numFmtId="176" fontId="1" fillId="13" borderId="78" xfId="2" applyNumberFormat="1" applyFont="1" applyFill="1" applyBorder="1" applyAlignment="1">
      <alignment horizontal="right" vertical="center" shrinkToFit="1"/>
    </xf>
    <xf numFmtId="0" fontId="1" fillId="0" borderId="14" xfId="0" quotePrefix="1" applyNumberFormat="1" applyFont="1" applyBorder="1" applyAlignment="1">
      <alignment vertical="center" shrinkToFit="1"/>
    </xf>
    <xf numFmtId="187" fontId="1" fillId="0" borderId="0" xfId="13" applyNumberFormat="1" applyFont="1" applyAlignment="1">
      <alignment horizontal="center" vertical="center" shrinkToFit="1"/>
    </xf>
    <xf numFmtId="0" fontId="1" fillId="0" borderId="0" xfId="13" applyNumberFormat="1" applyFont="1" applyAlignment="1">
      <alignment horizontal="center" vertical="center"/>
    </xf>
    <xf numFmtId="49" fontId="1" fillId="0" borderId="0" xfId="13" applyNumberFormat="1" applyFont="1" applyAlignment="1">
      <alignment horizontal="center" vertical="center"/>
    </xf>
    <xf numFmtId="176" fontId="1" fillId="0" borderId="7" xfId="2" applyNumberFormat="1" applyFont="1" applyBorder="1" applyAlignment="1">
      <alignment horizontal="right" vertical="center" shrinkToFit="1"/>
    </xf>
    <xf numFmtId="3" fontId="1" fillId="0" borderId="14" xfId="2" applyNumberFormat="1" applyFont="1" applyBorder="1" applyAlignment="1">
      <alignment vertical="center" shrinkToFit="1"/>
    </xf>
    <xf numFmtId="3" fontId="1" fillId="0" borderId="14" xfId="2" applyNumberFormat="1" applyFont="1" applyBorder="1" applyAlignment="1">
      <alignment horizontal="right" vertical="center" shrinkToFit="1"/>
    </xf>
    <xf numFmtId="3" fontId="1" fillId="0" borderId="111" xfId="2" applyNumberFormat="1" applyFont="1" applyBorder="1" applyAlignment="1">
      <alignment horizontal="right" vertical="center" shrinkToFit="1"/>
    </xf>
    <xf numFmtId="3" fontId="1" fillId="0" borderId="111" xfId="4" applyNumberFormat="1" applyFont="1" applyBorder="1" applyAlignment="1">
      <alignment vertical="center" shrinkToFit="1"/>
    </xf>
    <xf numFmtId="3" fontId="1" fillId="0" borderId="111" xfId="6" applyNumberFormat="1" applyFont="1" applyBorder="1" applyAlignment="1">
      <alignment horizontal="right" vertical="center" shrinkToFit="1"/>
    </xf>
    <xf numFmtId="0" fontId="1" fillId="0" borderId="14" xfId="0" applyNumberFormat="1" applyFont="1" applyBorder="1" applyAlignment="1">
      <alignment horizontal="left" vertical="center" shrinkToFit="1"/>
    </xf>
    <xf numFmtId="0" fontId="1" fillId="13" borderId="14" xfId="0" applyNumberFormat="1" applyFont="1" applyFill="1" applyBorder="1" applyAlignment="1">
      <alignment horizontal="center" vertical="center"/>
    </xf>
    <xf numFmtId="3" fontId="50" fillId="13" borderId="13" xfId="2" applyNumberFormat="1" applyFont="1" applyFill="1" applyBorder="1" applyAlignment="1">
      <alignment horizontal="left" vertical="center" shrinkToFit="1"/>
    </xf>
    <xf numFmtId="0" fontId="50" fillId="13" borderId="14" xfId="0" applyNumberFormat="1" applyFont="1" applyFill="1" applyBorder="1" applyAlignment="1">
      <alignment horizontal="left" vertical="center" shrinkToFit="1"/>
    </xf>
    <xf numFmtId="0" fontId="50" fillId="13" borderId="15" xfId="0" applyNumberFormat="1" applyFont="1" applyFill="1" applyBorder="1" applyAlignment="1">
      <alignment horizontal="left" vertical="center" shrinkToFit="1"/>
    </xf>
    <xf numFmtId="3" fontId="50" fillId="14" borderId="13" xfId="2" applyNumberFormat="1" applyFont="1" applyFill="1" applyBorder="1" applyAlignment="1">
      <alignment horizontal="left" vertical="center" shrinkToFit="1"/>
    </xf>
    <xf numFmtId="0" fontId="50" fillId="14" borderId="14" xfId="0" applyNumberFormat="1" applyFont="1" applyFill="1" applyBorder="1" applyAlignment="1">
      <alignment horizontal="left" vertical="center" shrinkToFit="1"/>
    </xf>
    <xf numFmtId="0" fontId="50" fillId="14" borderId="15" xfId="0" applyNumberFormat="1" applyFont="1" applyFill="1" applyBorder="1" applyAlignment="1">
      <alignment horizontal="left" vertical="center" shrinkToFit="1"/>
    </xf>
    <xf numFmtId="0" fontId="55" fillId="0" borderId="0" xfId="0" applyNumberFormat="1" applyFont="1">
      <alignment vertical="center"/>
    </xf>
    <xf numFmtId="0" fontId="42" fillId="0" borderId="0" xfId="0" applyNumberFormat="1" applyFont="1">
      <alignment vertical="center"/>
    </xf>
    <xf numFmtId="41" fontId="44" fillId="0" borderId="3" xfId="2" applyNumberFormat="1" applyFont="1" applyBorder="1">
      <alignment vertical="center"/>
    </xf>
    <xf numFmtId="176" fontId="45" fillId="0" borderId="73" xfId="2" applyNumberFormat="1" applyFont="1" applyBorder="1" applyAlignment="1">
      <alignment horizontal="right" vertical="center" shrinkToFit="1"/>
    </xf>
    <xf numFmtId="178" fontId="45" fillId="0" borderId="114" xfId="2" applyNumberFormat="1" applyFont="1" applyBorder="1" applyAlignment="1">
      <alignment horizontal="right" vertical="center" shrinkToFit="1"/>
    </xf>
    <xf numFmtId="176" fontId="45" fillId="0" borderId="73" xfId="2" applyNumberFormat="1" applyFont="1" applyBorder="1" applyAlignment="1">
      <alignment vertical="center" shrinkToFit="1"/>
    </xf>
    <xf numFmtId="178" fontId="45" fillId="0" borderId="115" xfId="2" applyNumberFormat="1" applyFont="1" applyBorder="1" applyAlignment="1">
      <alignment horizontal="right" vertical="center" shrinkToFit="1"/>
    </xf>
    <xf numFmtId="176" fontId="55" fillId="0" borderId="0" xfId="0" applyNumberFormat="1" applyFont="1">
      <alignment vertical="center"/>
    </xf>
    <xf numFmtId="176" fontId="42" fillId="0" borderId="0" xfId="0" applyNumberFormat="1" applyFont="1">
      <alignment vertical="center"/>
    </xf>
    <xf numFmtId="0" fontId="42" fillId="13" borderId="20" xfId="0" applyNumberFormat="1" applyFont="1" applyFill="1" applyBorder="1" applyAlignment="1">
      <alignment horizontal="center" vertical="center" shrinkToFit="1"/>
    </xf>
    <xf numFmtId="0" fontId="42" fillId="13" borderId="7" xfId="0" applyNumberFormat="1" applyFont="1" applyFill="1" applyBorder="1" applyAlignment="1">
      <alignment horizontal="center" vertical="center" shrinkToFit="1"/>
    </xf>
    <xf numFmtId="41" fontId="42" fillId="13" borderId="7" xfId="2" applyNumberFormat="1" applyFont="1" applyFill="1" applyBorder="1" applyAlignment="1">
      <alignment horizontal="right" vertical="center" shrinkToFit="1"/>
    </xf>
    <xf numFmtId="4" fontId="42" fillId="13" borderId="79" xfId="2" applyNumberFormat="1" applyFont="1" applyFill="1" applyBorder="1" applyAlignment="1">
      <alignment horizontal="right" vertical="center" shrinkToFit="1"/>
    </xf>
    <xf numFmtId="9" fontId="42" fillId="13" borderId="116" xfId="0" applyNumberFormat="1" applyFont="1" applyFill="1" applyBorder="1" applyAlignment="1">
      <alignment horizontal="center" vertical="center" shrinkToFit="1"/>
    </xf>
    <xf numFmtId="4" fontId="42" fillId="13" borderId="38" xfId="2" applyNumberFormat="1" applyFont="1" applyFill="1" applyBorder="1" applyAlignment="1">
      <alignment horizontal="right" vertical="center" shrinkToFit="1"/>
    </xf>
    <xf numFmtId="3" fontId="42" fillId="0" borderId="0" xfId="0" applyNumberFormat="1" applyFont="1">
      <alignment vertical="center"/>
    </xf>
    <xf numFmtId="4" fontId="42" fillId="14" borderId="71" xfId="2" applyNumberFormat="1" applyFont="1" applyFill="1" applyBorder="1" applyAlignment="1">
      <alignment horizontal="right" vertical="center" shrinkToFit="1"/>
    </xf>
    <xf numFmtId="9" fontId="42" fillId="0" borderId="29" xfId="0" applyNumberFormat="1" applyFont="1" applyBorder="1" applyAlignment="1">
      <alignment horizontal="center" vertical="center" shrinkToFit="1"/>
    </xf>
    <xf numFmtId="4" fontId="42" fillId="14" borderId="39" xfId="2" applyNumberFormat="1" applyFont="1" applyFill="1" applyBorder="1" applyAlignment="1">
      <alignment horizontal="right" vertical="center" shrinkToFit="1"/>
    </xf>
    <xf numFmtId="3" fontId="55" fillId="0" borderId="0" xfId="0" applyNumberFormat="1" applyFont="1">
      <alignment vertical="center"/>
    </xf>
    <xf numFmtId="4" fontId="42" fillId="0" borderId="71" xfId="2" applyNumberFormat="1" applyFont="1" applyBorder="1" applyAlignment="1">
      <alignment horizontal="right" vertical="center" shrinkToFit="1"/>
    </xf>
    <xf numFmtId="4" fontId="42" fillId="0" borderId="39" xfId="2" applyNumberFormat="1" applyFont="1" applyBorder="1" applyAlignment="1">
      <alignment horizontal="right" vertical="center" shrinkToFit="1"/>
    </xf>
    <xf numFmtId="4" fontId="42" fillId="13" borderId="71" xfId="2" applyNumberFormat="1" applyFont="1" applyFill="1" applyBorder="1" applyAlignment="1">
      <alignment horizontal="right" vertical="center" shrinkToFit="1"/>
    </xf>
    <xf numFmtId="9" fontId="42" fillId="13" borderId="29" xfId="0" applyNumberFormat="1" applyFont="1" applyFill="1" applyBorder="1" applyAlignment="1">
      <alignment horizontal="center" vertical="center" shrinkToFit="1"/>
    </xf>
    <xf numFmtId="4" fontId="42" fillId="13" borderId="39" xfId="2" applyNumberFormat="1" applyFont="1" applyFill="1" applyBorder="1" applyAlignment="1">
      <alignment horizontal="right" vertical="center" shrinkToFit="1"/>
    </xf>
    <xf numFmtId="4" fontId="42" fillId="0" borderId="71" xfId="0" applyNumberFormat="1" applyFont="1" applyBorder="1" applyAlignment="1">
      <alignment vertical="center" shrinkToFit="1"/>
    </xf>
    <xf numFmtId="4" fontId="42" fillId="13" borderId="71" xfId="0" applyNumberFormat="1" applyFont="1" applyFill="1" applyBorder="1" applyAlignment="1">
      <alignment vertical="center" shrinkToFit="1"/>
    </xf>
    <xf numFmtId="4" fontId="42" fillId="14" borderId="71" xfId="0" applyNumberFormat="1" applyFont="1" applyFill="1" applyBorder="1" applyAlignment="1">
      <alignment vertical="center" shrinkToFit="1"/>
    </xf>
    <xf numFmtId="0" fontId="42" fillId="0" borderId="29" xfId="0" applyNumberFormat="1" applyFont="1" applyBorder="1" applyAlignment="1">
      <alignment horizontal="center" vertical="center" shrinkToFit="1"/>
    </xf>
    <xf numFmtId="0" fontId="42" fillId="0" borderId="117" xfId="0" applyNumberFormat="1" applyFont="1" applyBorder="1" applyAlignment="1">
      <alignment horizontal="center" vertical="center" shrinkToFit="1"/>
    </xf>
    <xf numFmtId="0" fontId="42" fillId="0" borderId="0" xfId="0" applyNumberFormat="1" applyFont="1" applyAlignment="1">
      <alignment horizontal="center" vertical="center" shrinkToFit="1"/>
    </xf>
    <xf numFmtId="0" fontId="42" fillId="0" borderId="0" xfId="0" applyNumberFormat="1" applyFont="1" applyAlignment="1">
      <alignment vertical="center" shrinkToFit="1"/>
    </xf>
    <xf numFmtId="0" fontId="42" fillId="0" borderId="118" xfId="0" applyNumberFormat="1" applyFont="1" applyBorder="1" applyAlignment="1">
      <alignment vertical="center" shrinkToFit="1"/>
    </xf>
    <xf numFmtId="0" fontId="42" fillId="13" borderId="29" xfId="0" applyNumberFormat="1" applyFont="1" applyFill="1" applyBorder="1" applyAlignment="1">
      <alignment horizontal="center" vertical="center" shrinkToFit="1"/>
    </xf>
    <xf numFmtId="0" fontId="42" fillId="0" borderId="119" xfId="0" applyNumberFormat="1" applyFont="1" applyBorder="1" applyAlignment="1">
      <alignment horizontal="center" vertical="center" shrinkToFit="1"/>
    </xf>
    <xf numFmtId="0" fontId="43" fillId="0" borderId="120" xfId="0" applyNumberFormat="1" applyFont="1" applyBorder="1" applyAlignment="1">
      <alignment horizontal="center" vertical="center"/>
    </xf>
    <xf numFmtId="0" fontId="43" fillId="0" borderId="3" xfId="0" applyNumberFormat="1" applyFont="1" applyBorder="1" applyAlignment="1">
      <alignment horizontal="center" vertical="center"/>
    </xf>
    <xf numFmtId="0" fontId="1" fillId="0" borderId="3" xfId="0" applyNumberFormat="1" applyFont="1" applyBorder="1">
      <alignment vertical="center"/>
    </xf>
    <xf numFmtId="0" fontId="1" fillId="0" borderId="121" xfId="0" applyNumberFormat="1" applyFont="1" applyBorder="1">
      <alignment vertical="center"/>
    </xf>
    <xf numFmtId="0" fontId="43" fillId="0" borderId="122" xfId="0" applyNumberFormat="1" applyFont="1" applyBorder="1" applyAlignment="1">
      <alignment horizontal="center" vertical="center"/>
    </xf>
    <xf numFmtId="41" fontId="42" fillId="0" borderId="25" xfId="2" applyNumberFormat="1" applyFont="1" applyBorder="1" applyAlignment="1">
      <alignment horizontal="right" vertical="center" shrinkToFit="1"/>
    </xf>
    <xf numFmtId="4" fontId="42" fillId="0" borderId="58" xfId="2" applyNumberFormat="1" applyFont="1" applyBorder="1" applyAlignment="1">
      <alignment horizontal="right" vertical="center" shrinkToFit="1"/>
    </xf>
    <xf numFmtId="41" fontId="42" fillId="13" borderId="8" xfId="2" applyNumberFormat="1" applyFont="1" applyFill="1" applyBorder="1" applyAlignment="1">
      <alignment horizontal="center" vertical="center" shrinkToFit="1"/>
    </xf>
    <xf numFmtId="41" fontId="42" fillId="14" borderId="8" xfId="2" applyNumberFormat="1" applyFont="1" applyFill="1" applyBorder="1" applyAlignment="1">
      <alignment horizontal="center" vertical="center" shrinkToFit="1"/>
    </xf>
    <xf numFmtId="0" fontId="42" fillId="0" borderId="3" xfId="0" applyNumberFormat="1" applyFont="1" applyBorder="1">
      <alignment vertical="center"/>
    </xf>
    <xf numFmtId="41" fontId="42" fillId="0" borderId="8" xfId="0" applyNumberFormat="1" applyFont="1" applyBorder="1" applyAlignment="1">
      <alignment horizontal="center" vertical="center" shrinkToFit="1"/>
    </xf>
    <xf numFmtId="41" fontId="45" fillId="0" borderId="92" xfId="2" applyNumberFormat="1" applyFont="1" applyBorder="1" applyAlignment="1">
      <alignment horizontal="right" vertical="center" shrinkToFit="1"/>
    </xf>
    <xf numFmtId="176" fontId="1" fillId="0" borderId="14" xfId="0" applyNumberFormat="1" applyFont="1" applyBorder="1" applyAlignment="1">
      <alignment vertical="center" shrinkToFit="1"/>
    </xf>
    <xf numFmtId="0" fontId="1" fillId="0" borderId="14" xfId="0" applyNumberFormat="1" applyFont="1" applyBorder="1" applyAlignment="1">
      <alignment horizontal="right" vertical="center" wrapText="1"/>
    </xf>
    <xf numFmtId="176" fontId="52" fillId="0" borderId="73" xfId="2" applyNumberFormat="1" applyFont="1" applyBorder="1" applyAlignment="1">
      <alignment horizontal="right" vertical="center" shrinkToFit="1"/>
    </xf>
    <xf numFmtId="187" fontId="53" fillId="0" borderId="123" xfId="0" applyNumberFormat="1" applyFont="1" applyBorder="1">
      <alignment vertical="center"/>
    </xf>
    <xf numFmtId="41" fontId="1" fillId="0" borderId="111" xfId="2" applyNumberFormat="1" applyFont="1" applyBorder="1">
      <alignment vertical="center"/>
    </xf>
    <xf numFmtId="0" fontId="4" fillId="0" borderId="0" xfId="0" applyNumberFormat="1" applyFont="1" applyAlignment="1">
      <alignment horizontal="center" vertical="center"/>
    </xf>
    <xf numFmtId="176" fontId="35" fillId="0" borderId="0" xfId="11" applyNumberFormat="1" applyFont="1" applyAlignment="1">
      <alignment horizontal="left" vertical="center" shrinkToFit="1"/>
    </xf>
    <xf numFmtId="41" fontId="44" fillId="0" borderId="0" xfId="2" applyNumberFormat="1" applyFont="1" applyAlignment="1">
      <alignment horizontal="center" vertical="center"/>
    </xf>
    <xf numFmtId="0" fontId="42" fillId="0" borderId="3" xfId="0" applyNumberFormat="1" applyFont="1" applyBorder="1" applyAlignment="1">
      <alignment horizontal="right" vertical="center"/>
    </xf>
    <xf numFmtId="41" fontId="44" fillId="0" borderId="130" xfId="2" applyNumberFormat="1" applyFont="1" applyBorder="1" applyAlignment="1">
      <alignment horizontal="center" vertical="center"/>
    </xf>
    <xf numFmtId="0" fontId="56" fillId="0" borderId="131" xfId="0" applyNumberFormat="1" applyFont="1" applyBorder="1" applyAlignment="1">
      <alignment horizontal="center" vertical="center"/>
    </xf>
    <xf numFmtId="0" fontId="43" fillId="0" borderId="132" xfId="0" applyNumberFormat="1" applyFont="1" applyBorder="1" applyAlignment="1">
      <alignment horizontal="center" vertical="center"/>
    </xf>
    <xf numFmtId="0" fontId="1" fillId="0" borderId="126" xfId="0" applyNumberFormat="1" applyFont="1" applyBorder="1" applyAlignment="1">
      <alignment horizontal="center" vertical="center" wrapText="1"/>
    </xf>
    <xf numFmtId="0" fontId="1" fillId="0" borderId="127" xfId="0" applyNumberFormat="1" applyFont="1" applyBorder="1" applyAlignment="1">
      <alignment horizontal="center" vertical="center" wrapText="1"/>
    </xf>
    <xf numFmtId="0" fontId="1" fillId="0" borderId="133" xfId="0" applyNumberFormat="1" applyFont="1" applyBorder="1" applyAlignment="1">
      <alignment horizontal="center" vertical="center"/>
    </xf>
    <xf numFmtId="0" fontId="1" fillId="0" borderId="134" xfId="0" applyNumberFormat="1" applyFont="1" applyBorder="1" applyAlignment="1">
      <alignment horizontal="center" vertical="center"/>
    </xf>
    <xf numFmtId="41" fontId="44" fillId="0" borderId="135" xfId="2" applyNumberFormat="1" applyFont="1" applyBorder="1" applyAlignment="1">
      <alignment horizontal="center" vertical="center"/>
    </xf>
    <xf numFmtId="0" fontId="43" fillId="0" borderId="131" xfId="0" applyNumberFormat="1" applyFont="1" applyBorder="1" applyAlignment="1">
      <alignment horizontal="center" vertical="center"/>
    </xf>
    <xf numFmtId="0" fontId="43" fillId="0" borderId="2" xfId="0" applyNumberFormat="1" applyFont="1" applyBorder="1" applyAlignment="1">
      <alignment horizontal="center" vertical="center"/>
    </xf>
    <xf numFmtId="0" fontId="1" fillId="0" borderId="136" xfId="0" applyNumberFormat="1" applyFont="1" applyBorder="1" applyAlignment="1">
      <alignment horizontal="center" vertical="center" wrapText="1"/>
    </xf>
    <xf numFmtId="0" fontId="1" fillId="0" borderId="137" xfId="0" applyNumberFormat="1" applyFont="1" applyBorder="1" applyAlignment="1">
      <alignment horizontal="center" vertical="center" wrapText="1"/>
    </xf>
    <xf numFmtId="0" fontId="1" fillId="0" borderId="138" xfId="0" applyNumberFormat="1" applyFont="1" applyBorder="1" applyAlignment="1">
      <alignment horizontal="center" vertical="center"/>
    </xf>
    <xf numFmtId="0" fontId="45" fillId="0" borderId="124" xfId="0" applyNumberFormat="1" applyFont="1" applyBorder="1" applyAlignment="1">
      <alignment horizontal="center" vertical="center" shrinkToFit="1"/>
    </xf>
    <xf numFmtId="0" fontId="45" fillId="0" borderId="73" xfId="0" applyNumberFormat="1" applyFont="1" applyBorder="1" applyAlignment="1">
      <alignment horizontal="center" vertical="center" shrinkToFit="1"/>
    </xf>
    <xf numFmtId="0" fontId="45" fillId="0" borderId="125" xfId="0" applyNumberFormat="1" applyFont="1" applyBorder="1" applyAlignment="1">
      <alignment horizontal="center" vertical="center"/>
    </xf>
    <xf numFmtId="0" fontId="45" fillId="0" borderId="73" xfId="0" applyNumberFormat="1" applyFont="1" applyBorder="1" applyAlignment="1">
      <alignment horizontal="center" vertical="center"/>
    </xf>
    <xf numFmtId="0" fontId="1" fillId="0" borderId="128" xfId="0" applyNumberFormat="1" applyFont="1" applyBorder="1" applyAlignment="1">
      <alignment horizontal="center" vertical="center" wrapText="1"/>
    </xf>
    <xf numFmtId="0" fontId="1" fillId="0" borderId="129" xfId="0" applyNumberFormat="1" applyFont="1" applyBorder="1" applyAlignment="1">
      <alignment horizontal="center" vertical="center" wrapText="1"/>
    </xf>
    <xf numFmtId="0" fontId="50" fillId="0" borderId="26" xfId="0" applyNumberFormat="1" applyFont="1" applyBorder="1" applyAlignment="1">
      <alignment horizontal="left" vertical="center"/>
    </xf>
    <xf numFmtId="0" fontId="50" fillId="0" borderId="27" xfId="0" applyNumberFormat="1" applyFont="1" applyBorder="1" applyAlignment="1">
      <alignment horizontal="left" vertical="center"/>
    </xf>
    <xf numFmtId="0" fontId="50" fillId="0" borderId="28" xfId="0" applyNumberFormat="1" applyFont="1" applyBorder="1" applyAlignment="1">
      <alignment horizontal="left" vertical="center"/>
    </xf>
    <xf numFmtId="3" fontId="50" fillId="0" borderId="13" xfId="2" applyNumberFormat="1" applyFont="1" applyBorder="1" applyAlignment="1">
      <alignment horizontal="left" vertical="center" wrapText="1" shrinkToFit="1"/>
    </xf>
    <xf numFmtId="3" fontId="50" fillId="0" borderId="14" xfId="2" applyNumberFormat="1" applyFont="1" applyBorder="1" applyAlignment="1">
      <alignment horizontal="left" vertical="center" shrinkToFit="1"/>
    </xf>
    <xf numFmtId="3" fontId="50" fillId="0" borderId="15" xfId="2" applyNumberFormat="1" applyFont="1" applyBorder="1" applyAlignment="1">
      <alignment horizontal="left" vertical="center" shrinkToFit="1"/>
    </xf>
    <xf numFmtId="0" fontId="50" fillId="13" borderId="13" xfId="0" applyNumberFormat="1" applyFont="1" applyFill="1" applyBorder="1" applyAlignment="1">
      <alignment horizontal="center" vertical="center"/>
    </xf>
    <xf numFmtId="0" fontId="50" fillId="13" borderId="14" xfId="0" applyNumberFormat="1" applyFont="1" applyFill="1" applyBorder="1" applyAlignment="1">
      <alignment horizontal="center" vertical="center"/>
    </xf>
    <xf numFmtId="0" fontId="50" fillId="13" borderId="15" xfId="0" applyNumberFormat="1" applyFont="1" applyFill="1" applyBorder="1" applyAlignment="1">
      <alignment horizontal="center" vertical="center"/>
    </xf>
    <xf numFmtId="0" fontId="50" fillId="14" borderId="13" xfId="0" applyNumberFormat="1" applyFont="1" applyFill="1" applyBorder="1" applyAlignment="1">
      <alignment horizontal="center" vertical="center"/>
    </xf>
    <xf numFmtId="0" fontId="50" fillId="14" borderId="14" xfId="0" applyNumberFormat="1" applyFont="1" applyFill="1" applyBorder="1" applyAlignment="1">
      <alignment horizontal="center" vertical="center"/>
    </xf>
    <xf numFmtId="0" fontId="50" fillId="14" borderId="15" xfId="0" applyNumberFormat="1" applyFont="1" applyFill="1" applyBorder="1" applyAlignment="1">
      <alignment horizontal="center" vertical="center"/>
    </xf>
    <xf numFmtId="0" fontId="50" fillId="0" borderId="13" xfId="0" applyNumberFormat="1" applyFont="1" applyBorder="1" applyAlignment="1">
      <alignment horizontal="left" vertical="center"/>
    </xf>
    <xf numFmtId="0" fontId="50" fillId="0" borderId="14" xfId="0" applyNumberFormat="1" applyFont="1" applyBorder="1" applyAlignment="1">
      <alignment horizontal="left" vertical="center"/>
    </xf>
    <xf numFmtId="0" fontId="50" fillId="0" borderId="15" xfId="0" applyNumberFormat="1" applyFont="1" applyBorder="1" applyAlignment="1">
      <alignment horizontal="left" vertical="center"/>
    </xf>
    <xf numFmtId="3" fontId="50" fillId="0" borderId="13" xfId="2" quotePrefix="1" applyNumberFormat="1" applyFont="1" applyBorder="1" applyAlignment="1">
      <alignment horizontal="left" vertical="center" shrinkToFit="1"/>
    </xf>
    <xf numFmtId="3" fontId="50" fillId="0" borderId="14" xfId="2" quotePrefix="1" applyNumberFormat="1" applyFont="1" applyBorder="1" applyAlignment="1">
      <alignment horizontal="left" vertical="center" shrinkToFit="1"/>
    </xf>
    <xf numFmtId="3" fontId="50" fillId="0" borderId="15" xfId="2" quotePrefix="1" applyNumberFormat="1" applyFont="1" applyBorder="1" applyAlignment="1">
      <alignment horizontal="left" vertical="center" shrinkToFit="1"/>
    </xf>
    <xf numFmtId="3" fontId="50" fillId="0" borderId="13" xfId="2" applyNumberFormat="1" applyFont="1" applyBorder="1" applyAlignment="1">
      <alignment horizontal="left" vertical="center" shrinkToFit="1"/>
    </xf>
    <xf numFmtId="3" fontId="50" fillId="14" borderId="13" xfId="2" applyNumberFormat="1" applyFont="1" applyFill="1" applyBorder="1" applyAlignment="1">
      <alignment horizontal="left" vertical="center" shrinkToFit="1"/>
    </xf>
    <xf numFmtId="3" fontId="50" fillId="14" borderId="14" xfId="2" applyNumberFormat="1" applyFont="1" applyFill="1" applyBorder="1" applyAlignment="1">
      <alignment horizontal="left" vertical="center" shrinkToFit="1"/>
    </xf>
    <xf numFmtId="3" fontId="50" fillId="14" borderId="15" xfId="2" applyNumberFormat="1" applyFont="1" applyFill="1" applyBorder="1" applyAlignment="1">
      <alignment horizontal="left" vertical="center" shrinkToFit="1"/>
    </xf>
    <xf numFmtId="0" fontId="50" fillId="0" borderId="13" xfId="0" applyNumberFormat="1" applyFont="1" applyBorder="1" applyAlignment="1">
      <alignment horizontal="left" vertical="center" shrinkToFit="1"/>
    </xf>
    <xf numFmtId="0" fontId="50" fillId="0" borderId="14" xfId="0" applyNumberFormat="1" applyFont="1" applyBorder="1" applyAlignment="1">
      <alignment horizontal="left" vertical="center" shrinkToFit="1"/>
    </xf>
    <xf numFmtId="0" fontId="50" fillId="0" borderId="15" xfId="0" applyNumberFormat="1" applyFont="1" applyBorder="1" applyAlignment="1">
      <alignment horizontal="left" vertical="center" shrinkToFit="1"/>
    </xf>
    <xf numFmtId="3" fontId="50" fillId="13" borderId="13" xfId="2" applyNumberFormat="1" applyFont="1" applyFill="1" applyBorder="1" applyAlignment="1">
      <alignment horizontal="left" vertical="center" shrinkToFit="1"/>
    </xf>
    <xf numFmtId="3" fontId="50" fillId="13" borderId="14" xfId="2" applyNumberFormat="1" applyFont="1" applyFill="1" applyBorder="1" applyAlignment="1">
      <alignment horizontal="left" vertical="center" shrinkToFit="1"/>
    </xf>
    <xf numFmtId="3" fontId="50" fillId="13" borderId="15" xfId="2" applyNumberFormat="1" applyFont="1" applyFill="1" applyBorder="1" applyAlignment="1">
      <alignment horizontal="left" vertical="center" shrinkToFit="1"/>
    </xf>
    <xf numFmtId="0" fontId="1" fillId="0" borderId="143" xfId="0" applyNumberFormat="1" applyFont="1" applyBorder="1" applyAlignment="1">
      <alignment horizontal="center" vertical="center" shrinkToFit="1"/>
    </xf>
    <xf numFmtId="0" fontId="1" fillId="0" borderId="110" xfId="0" applyNumberFormat="1" applyFont="1" applyBorder="1" applyAlignment="1">
      <alignment horizontal="center" vertical="center" shrinkToFit="1"/>
    </xf>
    <xf numFmtId="0" fontId="1" fillId="0" borderId="92" xfId="0" applyNumberFormat="1" applyFont="1" applyBorder="1" applyAlignment="1">
      <alignment horizontal="center" vertical="center" shrinkToFit="1"/>
    </xf>
    <xf numFmtId="3" fontId="50" fillId="0" borderId="75" xfId="2" applyNumberFormat="1" applyFont="1" applyBorder="1" applyAlignment="1">
      <alignment horizontal="center" vertical="center" shrinkToFit="1"/>
    </xf>
    <xf numFmtId="3" fontId="50" fillId="0" borderId="110" xfId="2" applyNumberFormat="1" applyFont="1" applyBorder="1" applyAlignment="1">
      <alignment horizontal="center" vertical="center" shrinkToFit="1"/>
    </xf>
    <xf numFmtId="3" fontId="50" fillId="0" borderId="123" xfId="2" applyNumberFormat="1" applyFont="1" applyBorder="1" applyAlignment="1">
      <alignment horizontal="center" vertical="center" shrinkToFit="1"/>
    </xf>
    <xf numFmtId="3" fontId="1" fillId="13" borderId="9" xfId="2" applyNumberFormat="1" applyFont="1" applyFill="1" applyBorder="1" applyAlignment="1">
      <alignment horizontal="left" vertical="center" shrinkToFit="1"/>
    </xf>
    <xf numFmtId="3" fontId="1" fillId="13" borderId="10" xfId="2" applyNumberFormat="1" applyFont="1" applyFill="1" applyBorder="1" applyAlignment="1">
      <alignment horizontal="left" vertical="center" shrinkToFit="1"/>
    </xf>
    <xf numFmtId="3" fontId="1" fillId="13" borderId="11" xfId="2" applyNumberFormat="1" applyFont="1" applyFill="1" applyBorder="1" applyAlignment="1">
      <alignment horizontal="left" vertical="center" shrinkToFit="1"/>
    </xf>
    <xf numFmtId="3" fontId="1" fillId="14" borderId="13" xfId="2" applyNumberFormat="1" applyFont="1" applyFill="1" applyBorder="1" applyAlignment="1">
      <alignment horizontal="left" vertical="center" shrinkToFit="1"/>
    </xf>
    <xf numFmtId="3" fontId="1" fillId="14" borderId="14" xfId="2" applyNumberFormat="1" applyFont="1" applyFill="1" applyBorder="1" applyAlignment="1">
      <alignment horizontal="left" vertical="center" shrinkToFit="1"/>
    </xf>
    <xf numFmtId="3" fontId="1" fillId="14" borderId="15" xfId="2" applyNumberFormat="1" applyFont="1" applyFill="1" applyBorder="1" applyAlignment="1">
      <alignment horizontal="left" vertical="center" shrinkToFit="1"/>
    </xf>
    <xf numFmtId="3" fontId="50" fillId="0" borderId="8" xfId="2" applyNumberFormat="1" applyFont="1" applyBorder="1" applyAlignment="1">
      <alignment horizontal="left" vertical="center" wrapText="1" shrinkToFit="1"/>
    </xf>
    <xf numFmtId="0" fontId="50" fillId="0" borderId="8" xfId="0" applyNumberFormat="1" applyFont="1" applyBorder="1" applyAlignment="1">
      <alignment horizontal="left" vertical="center" shrinkToFit="1"/>
    </xf>
    <xf numFmtId="0" fontId="50" fillId="0" borderId="39" xfId="0" applyNumberFormat="1" applyFont="1" applyBorder="1" applyAlignment="1">
      <alignment horizontal="left" vertical="center" shrinkToFit="1"/>
    </xf>
    <xf numFmtId="41" fontId="7" fillId="0" borderId="0" xfId="2" applyNumberFormat="1" applyFont="1" applyAlignment="1">
      <alignment horizontal="center" vertical="center" wrapText="1"/>
    </xf>
    <xf numFmtId="0" fontId="1" fillId="0" borderId="1" xfId="0" applyNumberFormat="1" applyFont="1" applyBorder="1" applyAlignment="1">
      <alignment horizontal="center" vertical="center"/>
    </xf>
    <xf numFmtId="0" fontId="1" fillId="0" borderId="130" xfId="0" applyNumberFormat="1" applyFont="1" applyBorder="1" applyAlignment="1">
      <alignment horizontal="center" vertical="center"/>
    </xf>
    <xf numFmtId="0" fontId="1" fillId="0" borderId="126" xfId="0" applyNumberFormat="1" applyFont="1" applyBorder="1" applyAlignment="1">
      <alignment horizontal="center" vertical="center" wrapText="1" shrinkToFit="1"/>
    </xf>
    <xf numFmtId="0" fontId="1" fillId="0" borderId="127" xfId="0" applyNumberFormat="1" applyFont="1" applyBorder="1" applyAlignment="1">
      <alignment horizontal="center" vertical="center" shrinkToFit="1"/>
    </xf>
    <xf numFmtId="0" fontId="1" fillId="0" borderId="139" xfId="0" applyNumberFormat="1" applyFont="1" applyBorder="1" applyAlignment="1">
      <alignment horizontal="center" vertical="center"/>
    </xf>
    <xf numFmtId="0" fontId="43" fillId="0" borderId="61" xfId="0" applyNumberFormat="1" applyFont="1" applyBorder="1" applyAlignment="1">
      <alignment horizontal="center" vertical="center"/>
    </xf>
    <xf numFmtId="0" fontId="43" fillId="0" borderId="140" xfId="0" applyNumberFormat="1" applyFont="1" applyBorder="1" applyAlignment="1">
      <alignment horizontal="center" vertical="center"/>
    </xf>
    <xf numFmtId="0" fontId="43" fillId="0" borderId="141" xfId="0" applyNumberFormat="1" applyFont="1" applyBorder="1" applyAlignment="1">
      <alignment horizontal="center" vertical="center"/>
    </xf>
    <xf numFmtId="0" fontId="43" fillId="0" borderId="74" xfId="0" applyNumberFormat="1" applyFont="1" applyBorder="1" applyAlignment="1">
      <alignment horizontal="center" vertical="center"/>
    </xf>
    <xf numFmtId="0" fontId="43" fillId="0" borderId="142" xfId="0" applyNumberFormat="1" applyFont="1" applyBorder="1" applyAlignment="1">
      <alignment horizontal="center" vertical="center"/>
    </xf>
    <xf numFmtId="41" fontId="1" fillId="0" borderId="111" xfId="2" applyNumberFormat="1" applyFont="1" applyBorder="1" applyAlignment="1">
      <alignment horizontal="center" vertical="center"/>
    </xf>
    <xf numFmtId="0" fontId="52" fillId="0" borderId="124" xfId="0" applyNumberFormat="1" applyFont="1" applyBorder="1" applyAlignment="1">
      <alignment horizontal="center" vertical="center"/>
    </xf>
    <xf numFmtId="0" fontId="52" fillId="0" borderId="73" xfId="0" applyNumberFormat="1" applyFont="1" applyBorder="1" applyAlignment="1">
      <alignment horizontal="center" vertical="center"/>
    </xf>
    <xf numFmtId="41" fontId="57" fillId="0" borderId="0" xfId="2" applyNumberFormat="1" applyFont="1" applyAlignment="1">
      <alignment horizontal="center" vertical="center"/>
    </xf>
    <xf numFmtId="0" fontId="57" fillId="0" borderId="0" xfId="0" applyNumberFormat="1" applyFont="1" applyAlignment="1">
      <alignment horizontal="center" vertical="center"/>
    </xf>
    <xf numFmtId="0" fontId="50" fillId="0" borderId="138" xfId="0" applyNumberFormat="1" applyFont="1" applyBorder="1" applyAlignment="1">
      <alignment horizontal="center" vertical="center"/>
    </xf>
    <xf numFmtId="0" fontId="50" fillId="0" borderId="134" xfId="0" applyNumberFormat="1" applyFont="1" applyBorder="1" applyAlignment="1">
      <alignment horizontal="center" vertical="center"/>
    </xf>
    <xf numFmtId="0" fontId="50" fillId="0" borderId="126" xfId="0" applyNumberFormat="1" applyFont="1" applyBorder="1" applyAlignment="1">
      <alignment horizontal="center" vertical="center" wrapText="1"/>
    </xf>
    <xf numFmtId="0" fontId="50" fillId="0" borderId="127" xfId="0" applyNumberFormat="1" applyFont="1" applyBorder="1" applyAlignment="1">
      <alignment horizontal="center" vertical="center"/>
    </xf>
    <xf numFmtId="176" fontId="50" fillId="0" borderId="126" xfId="0" applyNumberFormat="1" applyFont="1" applyBorder="1" applyAlignment="1">
      <alignment horizontal="center" vertical="center" wrapText="1" shrinkToFit="1"/>
    </xf>
    <xf numFmtId="176" fontId="50" fillId="0" borderId="127" xfId="0" applyNumberFormat="1" applyFont="1" applyBorder="1" applyAlignment="1">
      <alignment horizontal="center" vertical="center" shrinkToFit="1"/>
    </xf>
    <xf numFmtId="0" fontId="50" fillId="0" borderId="134" xfId="0" applyNumberFormat="1" applyFont="1" applyBorder="1" applyAlignment="1">
      <alignment horizontal="center" vertical="center" wrapText="1"/>
    </xf>
    <xf numFmtId="0" fontId="50" fillId="0" borderId="61" xfId="0" applyNumberFormat="1" applyFont="1" applyBorder="1" applyAlignment="1">
      <alignment horizontal="center" vertical="center"/>
    </xf>
    <xf numFmtId="0" fontId="43" fillId="0" borderId="61" xfId="0" applyNumberFormat="1" applyFont="1" applyBorder="1" applyAlignment="1">
      <alignment vertical="center"/>
    </xf>
    <xf numFmtId="0" fontId="43" fillId="0" borderId="140" xfId="0" applyNumberFormat="1" applyFont="1" applyBorder="1" applyAlignment="1">
      <alignment vertical="center"/>
    </xf>
    <xf numFmtId="0" fontId="43" fillId="0" borderId="74" xfId="0" applyNumberFormat="1" applyFont="1" applyBorder="1" applyAlignment="1">
      <alignment vertical="center"/>
    </xf>
    <xf numFmtId="0" fontId="43" fillId="0" borderId="142" xfId="0" applyNumberFormat="1" applyFont="1" applyBorder="1" applyAlignment="1">
      <alignment vertical="center"/>
    </xf>
    <xf numFmtId="179" fontId="20" fillId="0" borderId="13" xfId="8" applyNumberFormat="1" applyFont="1" applyBorder="1" applyAlignment="1">
      <alignment horizontal="left" vertical="center" shrinkToFit="1"/>
    </xf>
    <xf numFmtId="179" fontId="20" fillId="0" borderId="14" xfId="8" applyNumberFormat="1" applyFont="1" applyBorder="1" applyAlignment="1">
      <alignment horizontal="left" vertical="center" shrinkToFit="1"/>
    </xf>
    <xf numFmtId="0" fontId="23" fillId="0" borderId="13" xfId="8" applyNumberFormat="1" applyFont="1" applyBorder="1" applyAlignment="1">
      <alignment horizontal="center" vertical="center"/>
    </xf>
    <xf numFmtId="0" fontId="23" fillId="0" borderId="29" xfId="8" applyNumberFormat="1" applyFont="1" applyBorder="1" applyAlignment="1">
      <alignment horizontal="center" vertical="center"/>
    </xf>
    <xf numFmtId="176" fontId="32" fillId="0" borderId="13" xfId="8" applyNumberFormat="1" applyFont="1" applyBorder="1" applyAlignment="1">
      <alignment horizontal="left" vertical="center" shrinkToFit="1"/>
    </xf>
    <xf numFmtId="176" fontId="32" fillId="0" borderId="14" xfId="8" applyNumberFormat="1" applyFont="1" applyBorder="1" applyAlignment="1">
      <alignment horizontal="left" vertical="center" shrinkToFit="1"/>
    </xf>
    <xf numFmtId="179" fontId="32" fillId="0" borderId="13" xfId="8" applyNumberFormat="1" applyFont="1" applyBorder="1" applyAlignment="1">
      <alignment horizontal="left" vertical="center" shrinkToFit="1"/>
    </xf>
    <xf numFmtId="179" fontId="32" fillId="0" borderId="14" xfId="8" applyNumberFormat="1" applyFont="1" applyBorder="1" applyAlignment="1">
      <alignment horizontal="left" vertical="center" shrinkToFit="1"/>
    </xf>
    <xf numFmtId="179" fontId="24" fillId="0" borderId="13" xfId="8" applyNumberFormat="1" applyFont="1" applyBorder="1" applyAlignment="1">
      <alignment horizontal="left" vertical="center" shrinkToFit="1"/>
    </xf>
    <xf numFmtId="179" fontId="24" fillId="0" borderId="14" xfId="8" applyNumberFormat="1" applyFont="1" applyBorder="1" applyAlignment="1">
      <alignment horizontal="left" vertical="center" shrinkToFit="1"/>
    </xf>
    <xf numFmtId="0" fontId="23" fillId="0" borderId="22" xfId="8" applyNumberFormat="1" applyFont="1" applyBorder="1" applyAlignment="1">
      <alignment horizontal="center" vertical="center"/>
    </xf>
    <xf numFmtId="0" fontId="23" fillId="0" borderId="30" xfId="8" applyNumberFormat="1" applyFont="1" applyBorder="1" applyAlignment="1">
      <alignment horizontal="center" vertical="center"/>
    </xf>
    <xf numFmtId="0" fontId="20" fillId="0" borderId="0" xfId="8" applyNumberFormat="1" applyFont="1" applyAlignment="1">
      <alignment vertical="center"/>
    </xf>
    <xf numFmtId="0" fontId="16" fillId="0" borderId="0" xfId="8" applyNumberFormat="1" applyFont="1" applyAlignment="1">
      <alignment horizontal="left" vertical="center"/>
    </xf>
    <xf numFmtId="0" fontId="32" fillId="0" borderId="0" xfId="8" applyNumberFormat="1" applyFont="1" applyAlignment="1">
      <alignment horizontal="right" vertical="center"/>
    </xf>
    <xf numFmtId="0" fontId="19" fillId="0" borderId="144" xfId="8" applyNumberFormat="1" applyFont="1" applyBorder="1" applyAlignment="1">
      <alignment horizontal="center" vertical="center"/>
    </xf>
    <xf numFmtId="0" fontId="19" fillId="0" borderId="145" xfId="8" applyNumberFormat="1" applyFont="1" applyBorder="1" applyAlignment="1">
      <alignment horizontal="center" vertical="center"/>
    </xf>
    <xf numFmtId="0" fontId="19" fillId="0" borderId="146" xfId="8" applyNumberFormat="1" applyFont="1" applyBorder="1" applyAlignment="1">
      <alignment horizontal="center" vertical="center"/>
    </xf>
    <xf numFmtId="179" fontId="19" fillId="0" borderId="126" xfId="8" applyNumberFormat="1" applyFont="1" applyBorder="1" applyAlignment="1">
      <alignment horizontal="center" vertical="center" wrapText="1"/>
    </xf>
    <xf numFmtId="179" fontId="19" fillId="0" borderId="127" xfId="8" applyNumberFormat="1" applyFont="1" applyBorder="1" applyAlignment="1">
      <alignment horizontal="center" vertical="center" wrapText="1"/>
    </xf>
    <xf numFmtId="0" fontId="19" fillId="0" borderId="126" xfId="8" applyNumberFormat="1" applyFont="1" applyBorder="1" applyAlignment="1">
      <alignment horizontal="center" vertical="center" wrapText="1"/>
    </xf>
    <xf numFmtId="0" fontId="19" fillId="0" borderId="127" xfId="8" applyNumberFormat="1" applyFont="1" applyBorder="1" applyAlignment="1">
      <alignment horizontal="center" vertical="center" wrapText="1"/>
    </xf>
    <xf numFmtId="0" fontId="22" fillId="0" borderId="126" xfId="8" applyNumberFormat="1" applyFont="1" applyBorder="1" applyAlignment="1">
      <alignment horizontal="center" vertical="center"/>
    </xf>
    <xf numFmtId="0" fontId="19" fillId="0" borderId="134" xfId="8" applyNumberFormat="1" applyFont="1" applyBorder="1" applyAlignment="1">
      <alignment horizontal="center" vertical="center" wrapText="1"/>
    </xf>
    <xf numFmtId="0" fontId="19" fillId="0" borderId="147" xfId="8" applyNumberFormat="1" applyFont="1" applyBorder="1" applyAlignment="1">
      <alignment horizontal="center" vertical="center" wrapText="1"/>
    </xf>
    <xf numFmtId="0" fontId="19" fillId="0" borderId="6" xfId="8" applyNumberFormat="1" applyFont="1" applyBorder="1" applyAlignment="1">
      <alignment horizontal="center" vertical="center" wrapText="1"/>
    </xf>
    <xf numFmtId="0" fontId="19" fillId="0" borderId="148" xfId="8" applyNumberFormat="1" applyFont="1" applyBorder="1" applyAlignment="1">
      <alignment horizontal="center" vertical="center" wrapText="1"/>
    </xf>
    <xf numFmtId="0" fontId="19" fillId="0" borderId="20" xfId="8" applyNumberFormat="1" applyFont="1" applyBorder="1" applyAlignment="1">
      <alignment horizontal="center" vertical="center"/>
    </xf>
    <xf numFmtId="0" fontId="23" fillId="0" borderId="7" xfId="8" applyNumberFormat="1" applyFont="1" applyBorder="1" applyAlignment="1">
      <alignment horizontal="center" vertical="center"/>
    </xf>
    <xf numFmtId="0" fontId="23" fillId="0" borderId="8" xfId="8" applyNumberFormat="1" applyFont="1" applyBorder="1" applyAlignment="1">
      <alignment horizontal="distributed" vertical="center"/>
    </xf>
    <xf numFmtId="0" fontId="23" fillId="0" borderId="8" xfId="8" applyNumberFormat="1" applyFont="1" applyBorder="1" applyAlignment="1">
      <alignment vertical="center"/>
    </xf>
    <xf numFmtId="0" fontId="32" fillId="0" borderId="13" xfId="8" applyNumberFormat="1" applyFont="1" applyBorder="1" applyAlignment="1">
      <alignment horizontal="center" vertical="center"/>
    </xf>
    <xf numFmtId="0" fontId="32" fillId="0" borderId="29" xfId="8" applyNumberFormat="1" applyFont="1" applyBorder="1" applyAlignment="1">
      <alignment horizontal="center" vertical="center"/>
    </xf>
    <xf numFmtId="0" fontId="16" fillId="0" borderId="0" xfId="8" applyNumberFormat="1" applyFont="1" applyAlignment="1">
      <alignment vertical="center"/>
    </xf>
    <xf numFmtId="0" fontId="58" fillId="0" borderId="0" xfId="8" applyNumberFormat="1" applyFont="1" applyAlignment="1">
      <alignment vertical="center"/>
    </xf>
    <xf numFmtId="0" fontId="19" fillId="0" borderId="126" xfId="8" applyNumberFormat="1" applyFont="1" applyBorder="1" applyAlignment="1">
      <alignment horizontal="center" vertical="center"/>
    </xf>
    <xf numFmtId="0" fontId="22" fillId="0" borderId="20" xfId="8" applyNumberFormat="1" applyFont="1" applyBorder="1" applyAlignment="1">
      <alignment horizontal="center" vertical="center"/>
    </xf>
    <xf numFmtId="0" fontId="32" fillId="0" borderId="7" xfId="8" applyNumberFormat="1" applyFont="1" applyBorder="1" applyAlignment="1">
      <alignment horizontal="center" vertical="center"/>
    </xf>
    <xf numFmtId="179" fontId="20" fillId="0" borderId="13" xfId="8" applyNumberFormat="1" applyFont="1" applyBorder="1" applyAlignment="1">
      <alignment horizontal="left" vertical="center" wrapText="1"/>
    </xf>
    <xf numFmtId="179" fontId="20" fillId="0" borderId="14" xfId="8" applyNumberFormat="1" applyFont="1" applyBorder="1" applyAlignment="1">
      <alignment horizontal="left" vertical="center" wrapText="1"/>
    </xf>
    <xf numFmtId="176" fontId="32" fillId="0" borderId="13" xfId="8" applyNumberFormat="1" applyFont="1" applyBorder="1" applyAlignment="1">
      <alignment horizontal="left" vertical="center" wrapText="1"/>
    </xf>
    <xf numFmtId="176" fontId="32" fillId="0" borderId="14" xfId="8" applyNumberFormat="1" applyFont="1" applyBorder="1" applyAlignment="1">
      <alignment horizontal="left" vertical="center" wrapText="1"/>
    </xf>
    <xf numFmtId="179" fontId="32" fillId="0" borderId="13" xfId="8" applyNumberFormat="1" applyFont="1" applyBorder="1" applyAlignment="1">
      <alignment horizontal="left" vertical="center" wrapText="1"/>
    </xf>
    <xf numFmtId="179" fontId="32" fillId="0" borderId="14" xfId="8" applyNumberFormat="1" applyFont="1" applyBorder="1" applyAlignment="1">
      <alignment horizontal="left" vertical="center" wrapText="1"/>
    </xf>
    <xf numFmtId="179" fontId="24" fillId="0" borderId="13" xfId="8" applyNumberFormat="1" applyFont="1" applyBorder="1" applyAlignment="1">
      <alignment horizontal="left" vertical="center" wrapText="1"/>
    </xf>
    <xf numFmtId="179" fontId="24" fillId="0" borderId="14" xfId="8" applyNumberFormat="1" applyFont="1" applyBorder="1" applyAlignment="1">
      <alignment horizontal="left" vertical="center" wrapText="1"/>
    </xf>
    <xf numFmtId="0" fontId="32" fillId="0" borderId="13" xfId="8" applyNumberFormat="1" applyFont="1" applyBorder="1" applyAlignment="1">
      <alignment horizontal="distributed" vertical="center"/>
    </xf>
    <xf numFmtId="0" fontId="32" fillId="0" borderId="29" xfId="8" applyNumberFormat="1" applyFont="1" applyBorder="1" applyAlignment="1">
      <alignment horizontal="distributed" vertical="center"/>
    </xf>
    <xf numFmtId="0" fontId="32" fillId="0" borderId="22" xfId="8" applyNumberFormat="1" applyFont="1" applyBorder="1" applyAlignment="1">
      <alignment horizontal="center" vertical="center"/>
    </xf>
    <xf numFmtId="0" fontId="32" fillId="0" borderId="30" xfId="8" applyNumberFormat="1" applyFont="1" applyBorder="1" applyAlignment="1">
      <alignment horizontal="center" vertical="center"/>
    </xf>
    <xf numFmtId="176" fontId="48" fillId="0" borderId="0" xfId="0" applyNumberFormat="1" applyFont="1" applyAlignment="1">
      <alignment horizontal="center" vertical="center" wrapText="1"/>
    </xf>
    <xf numFmtId="176" fontId="57" fillId="0" borderId="0" xfId="0" applyNumberFormat="1" applyFont="1" applyAlignment="1">
      <alignment horizontal="right" vertical="center"/>
    </xf>
    <xf numFmtId="176" fontId="43" fillId="0" borderId="149" xfId="0" applyNumberFormat="1" applyFont="1" applyBorder="1" applyAlignment="1">
      <alignment horizontal="right" vertical="center"/>
    </xf>
    <xf numFmtId="176" fontId="49" fillId="0" borderId="150" xfId="0" applyNumberFormat="1" applyFont="1" applyBorder="1" applyAlignment="1">
      <alignment horizontal="center" vertical="center"/>
    </xf>
    <xf numFmtId="176" fontId="49" fillId="0" borderId="151" xfId="0" applyNumberFormat="1" applyFont="1" applyBorder="1" applyAlignment="1">
      <alignment horizontal="center" vertical="center"/>
    </xf>
    <xf numFmtId="176" fontId="49" fillId="0" borderId="152" xfId="0" applyNumberFormat="1" applyFont="1" applyBorder="1" applyAlignment="1">
      <alignment horizontal="center" vertical="center"/>
    </xf>
    <xf numFmtId="176" fontId="57" fillId="0" borderId="153" xfId="0" applyNumberFormat="1" applyFont="1" applyBorder="1" applyAlignment="1">
      <alignment horizontal="center" vertical="center"/>
    </xf>
    <xf numFmtId="176" fontId="49" fillId="0" borderId="91" xfId="0" applyNumberFormat="1" applyFont="1" applyBorder="1" applyAlignment="1">
      <alignment horizontal="center" vertical="center"/>
    </xf>
    <xf numFmtId="176" fontId="49" fillId="0" borderId="123" xfId="0" applyNumberFormat="1" applyFont="1" applyBorder="1" applyAlignment="1">
      <alignment horizontal="center" vertical="center"/>
    </xf>
    <xf numFmtId="176" fontId="49" fillId="0" borderId="110" xfId="0" applyNumberFormat="1" applyFont="1" applyBorder="1" applyAlignment="1">
      <alignment horizontal="center" vertical="center"/>
    </xf>
    <xf numFmtId="176" fontId="57" fillId="0" borderId="93" xfId="0" applyNumberFormat="1" applyFont="1" applyBorder="1" applyAlignment="1">
      <alignment horizontal="center" vertical="center"/>
    </xf>
    <xf numFmtId="0" fontId="45" fillId="0" borderId="154" xfId="0" applyNumberFormat="1" applyFont="1" applyBorder="1" applyAlignment="1">
      <alignment horizontal="center" vertical="center" shrinkToFit="1"/>
    </xf>
    <xf numFmtId="0" fontId="45" fillId="0" borderId="74" xfId="0" applyNumberFormat="1" applyFont="1" applyBorder="1" applyAlignment="1">
      <alignment horizontal="center" vertical="center" shrinkToFit="1"/>
    </xf>
    <xf numFmtId="41" fontId="44" fillId="0" borderId="130" xfId="7" applyNumberFormat="1" applyFont="1" applyBorder="1" applyAlignment="1">
      <alignment horizontal="center" vertical="center"/>
    </xf>
    <xf numFmtId="41" fontId="44" fillId="0" borderId="135" xfId="7" applyNumberFormat="1" applyFont="1" applyBorder="1" applyAlignment="1">
      <alignment horizontal="center" vertical="center"/>
    </xf>
    <xf numFmtId="0" fontId="1" fillId="0" borderId="140" xfId="0" applyNumberFormat="1" applyFont="1" applyBorder="1" applyAlignment="1">
      <alignment horizontal="center" vertical="center" wrapText="1"/>
    </xf>
    <xf numFmtId="0" fontId="1" fillId="0" borderId="142" xfId="0" applyNumberFormat="1" applyFont="1" applyBorder="1" applyAlignment="1">
      <alignment horizontal="center" vertical="center" wrapText="1"/>
    </xf>
    <xf numFmtId="41" fontId="44" fillId="0" borderId="0" xfId="7" applyNumberFormat="1" applyFont="1" applyAlignment="1">
      <alignment horizontal="center" vertical="center"/>
    </xf>
    <xf numFmtId="42" fontId="1" fillId="3" borderId="130" xfId="3" applyNumberFormat="1" applyFont="1" applyFill="1" applyBorder="1" applyAlignment="1">
      <alignment horizontal="center" vertical="center"/>
    </xf>
    <xf numFmtId="42" fontId="1" fillId="3" borderId="131" xfId="3" applyNumberFormat="1" applyFont="1" applyFill="1" applyBorder="1" applyAlignment="1">
      <alignment horizontal="center" vertical="center"/>
    </xf>
    <xf numFmtId="42" fontId="1" fillId="3" borderId="2" xfId="3" applyNumberFormat="1" applyFont="1" applyFill="1" applyBorder="1" applyAlignment="1">
      <alignment horizontal="center" vertical="center"/>
    </xf>
    <xf numFmtId="0" fontId="1" fillId="0" borderId="87" xfId="0" applyNumberFormat="1" applyFont="1" applyBorder="1" applyAlignment="1">
      <alignment horizontal="center" vertical="center"/>
    </xf>
    <xf numFmtId="0" fontId="1" fillId="0" borderId="4" xfId="0" applyNumberFormat="1" applyFont="1" applyBorder="1" applyAlignment="1">
      <alignment horizontal="center" vertical="center"/>
    </xf>
    <xf numFmtId="0" fontId="1" fillId="0" borderId="87" xfId="0" applyNumberFormat="1" applyFont="1" applyBorder="1" applyAlignment="1">
      <alignment horizontal="center" vertical="center" wrapText="1"/>
    </xf>
    <xf numFmtId="41" fontId="1" fillId="2" borderId="87" xfId="2" applyNumberFormat="1" applyFont="1" applyFill="1" applyBorder="1" applyAlignment="1">
      <alignment horizontal="center" vertical="center"/>
    </xf>
    <xf numFmtId="41" fontId="1" fillId="2" borderId="4" xfId="2" applyNumberFormat="1" applyFont="1" applyFill="1" applyBorder="1" applyAlignment="1">
      <alignment horizontal="center" vertical="center"/>
    </xf>
    <xf numFmtId="41" fontId="1" fillId="2" borderId="87" xfId="2" applyNumberFormat="1" applyFont="1" applyFill="1" applyBorder="1" applyAlignment="1">
      <alignment horizontal="center" vertical="center" wrapText="1"/>
    </xf>
    <xf numFmtId="41" fontId="1" fillId="2" borderId="4" xfId="2" applyNumberFormat="1" applyFont="1" applyFill="1" applyBorder="1" applyAlignment="1">
      <alignment horizontal="center" vertical="center" wrapText="1"/>
    </xf>
    <xf numFmtId="41" fontId="1" fillId="2" borderId="130" xfId="2" applyNumberFormat="1" applyFont="1" applyFill="1" applyBorder="1" applyAlignment="1">
      <alignment horizontal="center" vertical="center"/>
    </xf>
    <xf numFmtId="41" fontId="1" fillId="2" borderId="131" xfId="2" applyNumberFormat="1" applyFont="1" applyFill="1" applyBorder="1" applyAlignment="1">
      <alignment horizontal="center" vertical="center"/>
    </xf>
    <xf numFmtId="41" fontId="1" fillId="2" borderId="2" xfId="2" applyNumberFormat="1" applyFont="1" applyFill="1" applyBorder="1" applyAlignment="1">
      <alignment horizontal="center" vertical="center"/>
    </xf>
    <xf numFmtId="41" fontId="1" fillId="3" borderId="87" xfId="2" applyNumberFormat="1" applyFont="1" applyFill="1" applyBorder="1" applyAlignment="1">
      <alignment horizontal="center" vertical="center" shrinkToFit="1"/>
    </xf>
    <xf numFmtId="41" fontId="1" fillId="3" borderId="4" xfId="2" applyNumberFormat="1" applyFont="1" applyFill="1" applyBorder="1" applyAlignment="1">
      <alignment horizontal="center" vertical="center" shrinkToFit="1"/>
    </xf>
    <xf numFmtId="0" fontId="1" fillId="0" borderId="87" xfId="0" applyNumberFormat="1" applyFont="1" applyBorder="1" applyAlignment="1">
      <alignment horizontal="center" vertical="center" wrapText="1" shrinkToFit="1"/>
    </xf>
    <xf numFmtId="0" fontId="1" fillId="0" borderId="4" xfId="0" applyNumberFormat="1" applyFont="1" applyBorder="1" applyAlignment="1">
      <alignment horizontal="center" vertical="center" shrinkToFit="1"/>
    </xf>
    <xf numFmtId="0" fontId="1" fillId="0" borderId="87" xfId="0" applyNumberFormat="1" applyFont="1" applyBorder="1" applyAlignment="1">
      <alignment horizontal="center" vertical="center" shrinkToFit="1"/>
    </xf>
    <xf numFmtId="49" fontId="1" fillId="0" borderId="87" xfId="0" applyNumberFormat="1" applyFont="1" applyBorder="1" applyAlignment="1">
      <alignment horizontal="center" vertical="center"/>
    </xf>
    <xf numFmtId="49" fontId="1" fillId="0" borderId="4" xfId="0" applyNumberFormat="1" applyFont="1" applyBorder="1" applyAlignment="1">
      <alignment horizontal="center" vertical="center"/>
    </xf>
    <xf numFmtId="42" fontId="44" fillId="0" borderId="0" xfId="3" applyNumberFormat="1" applyFont="1" applyAlignment="1">
      <alignment horizontal="center" vertical="center"/>
    </xf>
    <xf numFmtId="42" fontId="1" fillId="2" borderId="87" xfId="3" applyNumberFormat="1" applyFont="1" applyFill="1" applyBorder="1" applyAlignment="1">
      <alignment horizontal="center" vertical="center"/>
    </xf>
    <xf numFmtId="42" fontId="1" fillId="2" borderId="4" xfId="3" applyNumberFormat="1" applyFont="1" applyFill="1" applyBorder="1" applyAlignment="1">
      <alignment horizontal="center" vertical="center"/>
    </xf>
    <xf numFmtId="41" fontId="1" fillId="2" borderId="130" xfId="2" applyNumberFormat="1" applyFont="1" applyFill="1" applyBorder="1" applyAlignment="1">
      <alignment horizontal="center" vertical="center" wrapText="1"/>
    </xf>
    <xf numFmtId="41" fontId="1" fillId="2" borderId="131" xfId="2" applyNumberFormat="1" applyFont="1" applyFill="1" applyBorder="1" applyAlignment="1">
      <alignment horizontal="center" vertical="center" wrapText="1"/>
    </xf>
    <xf numFmtId="41" fontId="1" fillId="2" borderId="2" xfId="2" applyNumberFormat="1" applyFont="1" applyFill="1" applyBorder="1" applyAlignment="1">
      <alignment horizontal="center" vertical="center" wrapText="1"/>
    </xf>
    <xf numFmtId="41" fontId="1" fillId="0" borderId="87" xfId="2" applyNumberFormat="1" applyFont="1" applyBorder="1" applyAlignment="1">
      <alignment horizontal="center" vertical="center" shrinkToFit="1"/>
    </xf>
    <xf numFmtId="41" fontId="1" fillId="0" borderId="4" xfId="2" applyNumberFormat="1" applyFont="1" applyBorder="1" applyAlignment="1">
      <alignment horizontal="center" vertical="center" shrinkToFit="1"/>
    </xf>
    <xf numFmtId="42" fontId="14" fillId="0" borderId="0" xfId="3" applyNumberFormat="1" applyFont="1" applyAlignment="1">
      <alignment horizontal="center" vertical="center"/>
    </xf>
    <xf numFmtId="42" fontId="13" fillId="2" borderId="87" xfId="3" applyNumberFormat="1" applyFont="1" applyFill="1" applyBorder="1" applyAlignment="1">
      <alignment horizontal="center" vertical="center"/>
    </xf>
    <xf numFmtId="42" fontId="13" fillId="2" borderId="4" xfId="3" applyNumberFormat="1" applyFont="1" applyFill="1" applyBorder="1" applyAlignment="1">
      <alignment horizontal="center" vertical="center"/>
    </xf>
    <xf numFmtId="41" fontId="13" fillId="2" borderId="87" xfId="2" applyNumberFormat="1" applyFont="1" applyFill="1" applyBorder="1" applyAlignment="1">
      <alignment horizontal="center" vertical="center"/>
    </xf>
    <xf numFmtId="41" fontId="13" fillId="2" borderId="4" xfId="2" applyNumberFormat="1" applyFont="1" applyFill="1" applyBorder="1" applyAlignment="1">
      <alignment horizontal="center" vertical="center"/>
    </xf>
    <xf numFmtId="41" fontId="13" fillId="2" borderId="130" xfId="2" applyNumberFormat="1" applyFont="1" applyFill="1" applyBorder="1" applyAlignment="1">
      <alignment horizontal="center" vertical="center"/>
    </xf>
    <xf numFmtId="41" fontId="13" fillId="2" borderId="2" xfId="2" applyNumberFormat="1" applyFont="1" applyFill="1" applyBorder="1" applyAlignment="1">
      <alignment horizontal="center" vertical="center"/>
    </xf>
    <xf numFmtId="41" fontId="13" fillId="2" borderId="87" xfId="2" applyNumberFormat="1" applyFont="1" applyFill="1" applyBorder="1" applyAlignment="1">
      <alignment horizontal="center" vertical="center" wrapText="1"/>
    </xf>
    <xf numFmtId="41" fontId="13" fillId="2" borderId="4" xfId="2" applyNumberFormat="1" applyFont="1" applyFill="1" applyBorder="1" applyAlignment="1">
      <alignment horizontal="center" vertical="center" wrapText="1"/>
    </xf>
    <xf numFmtId="42" fontId="15" fillId="0" borderId="0" xfId="3" applyNumberFormat="1" applyFont="1" applyAlignment="1">
      <alignment horizontal="left" vertical="center"/>
    </xf>
    <xf numFmtId="42" fontId="13" fillId="3" borderId="130" xfId="3" applyNumberFormat="1" applyFont="1" applyFill="1" applyBorder="1" applyAlignment="1">
      <alignment horizontal="center" vertical="center"/>
    </xf>
    <xf numFmtId="42" fontId="13" fillId="3" borderId="131" xfId="3" applyNumberFormat="1" applyFont="1" applyFill="1" applyBorder="1" applyAlignment="1">
      <alignment horizontal="center" vertical="center"/>
    </xf>
    <xf numFmtId="42" fontId="13" fillId="3" borderId="2" xfId="3" applyNumberFormat="1" applyFont="1" applyFill="1" applyBorder="1" applyAlignment="1">
      <alignment horizontal="center" vertical="center"/>
    </xf>
    <xf numFmtId="0" fontId="13" fillId="0" borderId="87" xfId="0" applyNumberFormat="1" applyFont="1" applyBorder="1" applyAlignment="1">
      <alignment horizontal="center" vertical="center"/>
    </xf>
    <xf numFmtId="0" fontId="13" fillId="0" borderId="4" xfId="0" applyNumberFormat="1" applyFont="1" applyBorder="1" applyAlignment="1">
      <alignment horizontal="center" vertical="center"/>
    </xf>
    <xf numFmtId="41" fontId="13" fillId="2" borderId="131" xfId="2" applyNumberFormat="1" applyFont="1" applyFill="1" applyBorder="1" applyAlignment="1">
      <alignment horizontal="center" vertical="center"/>
    </xf>
    <xf numFmtId="41" fontId="13" fillId="3" borderId="87" xfId="2" applyNumberFormat="1" applyFont="1" applyFill="1" applyBorder="1" applyAlignment="1">
      <alignment horizontal="center" vertical="center" shrinkToFit="1"/>
    </xf>
    <xf numFmtId="41" fontId="13" fillId="3" borderId="4" xfId="2" applyNumberFormat="1" applyFont="1" applyFill="1" applyBorder="1" applyAlignment="1">
      <alignment horizontal="center" vertical="center" shrinkToFit="1"/>
    </xf>
    <xf numFmtId="41" fontId="13" fillId="0" borderId="87" xfId="2" applyNumberFormat="1" applyFont="1" applyBorder="1" applyAlignment="1">
      <alignment horizontal="center" vertical="center" shrinkToFit="1"/>
    </xf>
    <xf numFmtId="41" fontId="13" fillId="0" borderId="4" xfId="2" applyNumberFormat="1" applyFont="1" applyBorder="1" applyAlignment="1">
      <alignment horizontal="center" vertical="center" shrinkToFit="1"/>
    </xf>
    <xf numFmtId="0" fontId="23" fillId="0" borderId="12" xfId="10" applyNumberFormat="1" applyFont="1" applyBorder="1" applyAlignment="1">
      <alignment horizontal="center" vertical="center"/>
    </xf>
    <xf numFmtId="0" fontId="36" fillId="0" borderId="0" xfId="10" applyNumberFormat="1" applyFont="1" applyAlignment="1">
      <alignment horizontal="center" vertical="center"/>
    </xf>
    <xf numFmtId="0" fontId="21" fillId="0" borderId="0" xfId="10" applyNumberFormat="1" applyFont="1" applyAlignment="1">
      <alignment horizontal="center" vertical="center"/>
    </xf>
    <xf numFmtId="0" fontId="19" fillId="9" borderId="20" xfId="10" applyNumberFormat="1" applyFont="1" applyFill="1" applyBorder="1" applyAlignment="1">
      <alignment horizontal="center" vertical="center"/>
    </xf>
    <xf numFmtId="0" fontId="19" fillId="9" borderId="7" xfId="10" applyNumberFormat="1" applyFont="1" applyFill="1" applyBorder="1" applyAlignment="1">
      <alignment horizontal="center" vertical="center"/>
    </xf>
    <xf numFmtId="0" fontId="21" fillId="0" borderId="165" xfId="10" applyNumberFormat="1" applyFont="1" applyBorder="1" applyAlignment="1">
      <alignment horizontal="center" vertical="center"/>
    </xf>
    <xf numFmtId="0" fontId="21" fillId="0" borderId="3" xfId="10" applyNumberFormat="1" applyFont="1" applyBorder="1" applyAlignment="1">
      <alignment horizontal="center" vertical="center"/>
    </xf>
    <xf numFmtId="0" fontId="19" fillId="9" borderId="166" xfId="10" applyNumberFormat="1" applyFont="1" applyFill="1" applyBorder="1" applyAlignment="1">
      <alignment horizontal="center" vertical="center"/>
    </xf>
    <xf numFmtId="0" fontId="19" fillId="9" borderId="10" xfId="10" applyNumberFormat="1" applyFont="1" applyFill="1" applyBorder="1" applyAlignment="1">
      <alignment horizontal="center" vertical="center"/>
    </xf>
    <xf numFmtId="0" fontId="19" fillId="9" borderId="116" xfId="10" applyNumberFormat="1" applyFont="1" applyFill="1" applyBorder="1" applyAlignment="1">
      <alignment horizontal="center" vertical="center"/>
    </xf>
    <xf numFmtId="0" fontId="23" fillId="0" borderId="155" xfId="10" applyNumberFormat="1" applyFont="1" applyBorder="1" applyAlignment="1">
      <alignment horizontal="center" vertical="center"/>
    </xf>
    <xf numFmtId="0" fontId="23" fillId="0" borderId="156" xfId="10" applyNumberFormat="1" applyFont="1" applyBorder="1" applyAlignment="1">
      <alignment horizontal="center" vertical="center"/>
    </xf>
    <xf numFmtId="0" fontId="23" fillId="0" borderId="157" xfId="10" applyNumberFormat="1" applyFont="1" applyBorder="1" applyAlignment="1">
      <alignment horizontal="center" vertical="center"/>
    </xf>
    <xf numFmtId="0" fontId="23" fillId="0" borderId="161" xfId="10" applyNumberFormat="1" applyFont="1" applyBorder="1" applyAlignment="1">
      <alignment horizontal="center" vertical="center"/>
    </xf>
    <xf numFmtId="0" fontId="23" fillId="0" borderId="155" xfId="10" applyNumberFormat="1" applyFont="1" applyBorder="1" applyAlignment="1">
      <alignment horizontal="center" vertical="center" wrapText="1" shrinkToFit="1"/>
    </xf>
    <xf numFmtId="0" fontId="23" fillId="0" borderId="156" xfId="10" applyNumberFormat="1" applyFont="1" applyBorder="1" applyAlignment="1">
      <alignment horizontal="center" vertical="center" wrapText="1" shrinkToFit="1"/>
    </xf>
    <xf numFmtId="0" fontId="23" fillId="0" borderId="157" xfId="10" applyNumberFormat="1" applyFont="1" applyBorder="1" applyAlignment="1">
      <alignment horizontal="center" vertical="center" wrapText="1" shrinkToFit="1"/>
    </xf>
    <xf numFmtId="0" fontId="19" fillId="9" borderId="158" xfId="10" applyNumberFormat="1" applyFont="1" applyFill="1" applyBorder="1" applyAlignment="1">
      <alignment horizontal="center" vertical="center"/>
    </xf>
    <xf numFmtId="0" fontId="19" fillId="9" borderId="159" xfId="10" applyNumberFormat="1" applyFont="1" applyFill="1" applyBorder="1" applyAlignment="1">
      <alignment horizontal="center" vertical="center"/>
    </xf>
    <xf numFmtId="0" fontId="19" fillId="9" borderId="160" xfId="10" applyNumberFormat="1" applyFont="1" applyFill="1" applyBorder="1" applyAlignment="1">
      <alignment horizontal="center" vertical="center"/>
    </xf>
    <xf numFmtId="0" fontId="23" fillId="0" borderId="161" xfId="10" applyNumberFormat="1" applyFont="1" applyBorder="1" applyAlignment="1">
      <alignment horizontal="center" vertical="center" wrapText="1" shrinkToFit="1"/>
    </xf>
    <xf numFmtId="0" fontId="23" fillId="0" borderId="162" xfId="10" applyNumberFormat="1" applyFont="1" applyBorder="1" applyAlignment="1">
      <alignment horizontal="center" vertical="center" wrapText="1" shrinkToFit="1"/>
    </xf>
    <xf numFmtId="0" fontId="23" fillId="0" borderId="163" xfId="10" applyNumberFormat="1" applyFont="1" applyBorder="1" applyAlignment="1">
      <alignment horizontal="center" vertical="center" wrapText="1" shrinkToFit="1"/>
    </xf>
    <xf numFmtId="0" fontId="23" fillId="0" borderId="164" xfId="10" applyNumberFormat="1" applyFont="1" applyBorder="1" applyAlignment="1">
      <alignment horizontal="center" vertical="center" wrapText="1" shrinkToFit="1"/>
    </xf>
  </cellXfs>
  <cellStyles count="14">
    <cellStyle name="백분율" xfId="1" builtinId="5"/>
    <cellStyle name="쉼표 [0]" xfId="2" builtinId="6"/>
    <cellStyle name="쉼표 [0] 2" xfId="4"/>
    <cellStyle name="쉼표 [0] 2 2" xfId="6"/>
    <cellStyle name="쉼표 [0] 2 5" xfId="12"/>
    <cellStyle name="쉼표 [0] 4" xfId="7"/>
    <cellStyle name="쉼표 [0] 5" xfId="9"/>
    <cellStyle name="통화 [0]" xfId="3" builtinId="7"/>
    <cellStyle name="표준" xfId="0" builtinId="0"/>
    <cellStyle name="표준 2" xfId="5"/>
    <cellStyle name="표준 4" xfId="8"/>
    <cellStyle name="표준 5" xfId="11"/>
    <cellStyle name="표준_2006년 푸드뱅크 보조금신청서" xfId="13"/>
    <cellStyle name="표준_운영비신청세부내역080331" xfId="10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worksheet" Target="worksheets/sheet8.xml"/><Relationship Id="rId13" Type="http://schemas.openxmlformats.org/officeDocument/2006/relationships/worksheet" Target="worksheets/sheet13.xml"/><Relationship Id="rId18" Type="http://schemas.openxmlformats.org/officeDocument/2006/relationships/sharedStrings" Target="sharedStrings.xml"/><Relationship Id="rId3" Type="http://schemas.openxmlformats.org/officeDocument/2006/relationships/worksheet" Target="worksheets/sheet3.xml"/><Relationship Id="rId7" Type="http://schemas.openxmlformats.org/officeDocument/2006/relationships/worksheet" Target="worksheets/sheet7.xml"/><Relationship Id="rId12" Type="http://schemas.openxmlformats.org/officeDocument/2006/relationships/worksheet" Target="worksheets/sheet12.xml"/><Relationship Id="rId17" Type="http://schemas.openxmlformats.org/officeDocument/2006/relationships/styles" Target="styles.xml"/><Relationship Id="rId2" Type="http://schemas.openxmlformats.org/officeDocument/2006/relationships/worksheet" Target="worksheets/sheet2.xml"/><Relationship Id="rId16" Type="http://schemas.openxmlformats.org/officeDocument/2006/relationships/theme" Target="theme/theme1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11" Type="http://schemas.openxmlformats.org/officeDocument/2006/relationships/worksheet" Target="worksheets/sheet11.xml"/><Relationship Id="rId5" Type="http://schemas.openxmlformats.org/officeDocument/2006/relationships/worksheet" Target="worksheets/sheet5.xml"/><Relationship Id="rId15" Type="http://schemas.openxmlformats.org/officeDocument/2006/relationships/worksheet" Target="worksheets/sheet15.xml"/><Relationship Id="rId10" Type="http://schemas.openxmlformats.org/officeDocument/2006/relationships/worksheet" Target="worksheets/sheet10.xml"/><Relationship Id="rId19" Type="http://schemas.openxmlformats.org/officeDocument/2006/relationships/calcChain" Target="calcChain.xml"/><Relationship Id="rId4" Type="http://schemas.openxmlformats.org/officeDocument/2006/relationships/worksheet" Target="worksheets/sheet4.xml"/><Relationship Id="rId9" Type="http://schemas.openxmlformats.org/officeDocument/2006/relationships/worksheet" Target="worksheets/sheet9.xml"/><Relationship Id="rId14" Type="http://schemas.openxmlformats.org/officeDocument/2006/relationships/worksheet" Target="worksheets/sheet14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12</xdr:col>
      <xdr:colOff>0</xdr:colOff>
      <xdr:row>27</xdr:row>
      <xdr:rowOff>0</xdr:rowOff>
    </xdr:from>
    <xdr:to>
      <xdr:col>12</xdr:col>
      <xdr:colOff>0</xdr:colOff>
      <xdr:row>27</xdr:row>
      <xdr:rowOff>0</xdr:rowOff>
    </xdr:to>
    <xdr:sp macro="" textlink="">
      <xdr:nvSpPr>
        <xdr:cNvPr id="161263" name="Line 1"/>
        <xdr:cNvSpPr>
          <a:spLocks noChangeShapeType="1"/>
        </xdr:cNvSpPr>
      </xdr:nvSpPr>
      <xdr:spPr>
        <a:xfrm>
          <a:off x="15240000" y="85534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</xdr:spPr>
      <xdr:txBody>
        <a:bodyPr vertOverflow="clip" horzOverflow="clip" wrap="square" lIns="0" tIns="0" rIns="0" bIns="0"/>
        <a:lstStyle/>
        <a:p>
          <a:pPr algn="l" eaLnBrk="0" latinLnBrk="0">
            <a:lnSpc>
              <a:spcPct val="100000"/>
            </a:lnSpc>
          </a:pPr>
          <a:endParaRPr/>
        </a:p>
      </xdr:txBody>
    </xdr:sp>
    <xdr:clientData/>
  </xdr:twoCellAnchor>
  <xdr:twoCellAnchor>
    <xdr:from>
      <xdr:col>12</xdr:col>
      <xdr:colOff>0</xdr:colOff>
      <xdr:row>14</xdr:row>
      <xdr:rowOff>0</xdr:rowOff>
    </xdr:from>
    <xdr:to>
      <xdr:col>12</xdr:col>
      <xdr:colOff>0</xdr:colOff>
      <xdr:row>14</xdr:row>
      <xdr:rowOff>0</xdr:rowOff>
    </xdr:to>
    <xdr:sp macro="" textlink="">
      <xdr:nvSpPr>
        <xdr:cNvPr id="161264" name="Line 2"/>
        <xdr:cNvSpPr>
          <a:spLocks noChangeShapeType="1"/>
        </xdr:cNvSpPr>
      </xdr:nvSpPr>
      <xdr:spPr>
        <a:xfrm>
          <a:off x="15240000" y="44672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</xdr:spPr>
      <xdr:txBody>
        <a:bodyPr vertOverflow="clip" horzOverflow="clip" wrap="square" lIns="0" tIns="0" rIns="0" bIns="0"/>
        <a:lstStyle/>
        <a:p>
          <a:pPr algn="l" eaLnBrk="0" latinLnBrk="0">
            <a:lnSpc>
              <a:spcPct val="100000"/>
            </a:lnSpc>
          </a:pPr>
          <a:endParaRPr/>
        </a:p>
      </xdr:txBody>
    </xdr:sp>
    <xdr:clientData/>
  </xdr:twoCellAnchor>
  <xdr:twoCellAnchor>
    <xdr:from>
      <xdr:col>12</xdr:col>
      <xdr:colOff>0</xdr:colOff>
      <xdr:row>27</xdr:row>
      <xdr:rowOff>0</xdr:rowOff>
    </xdr:from>
    <xdr:to>
      <xdr:col>12</xdr:col>
      <xdr:colOff>0</xdr:colOff>
      <xdr:row>27</xdr:row>
      <xdr:rowOff>0</xdr:rowOff>
    </xdr:to>
    <xdr:sp macro="" textlink="">
      <xdr:nvSpPr>
        <xdr:cNvPr id="161265" name="Line 3"/>
        <xdr:cNvSpPr>
          <a:spLocks noChangeShapeType="1"/>
        </xdr:cNvSpPr>
      </xdr:nvSpPr>
      <xdr:spPr>
        <a:xfrm>
          <a:off x="15240000" y="85534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</xdr:spPr>
      <xdr:txBody>
        <a:bodyPr vertOverflow="clip" horzOverflow="clip" wrap="square" lIns="0" tIns="0" rIns="0" bIns="0"/>
        <a:lstStyle/>
        <a:p>
          <a:pPr algn="l" eaLnBrk="0" latinLnBrk="0">
            <a:lnSpc>
              <a:spcPct val="100000"/>
            </a:lnSpc>
          </a:pPr>
          <a:endParaRPr/>
        </a:p>
      </xdr:txBody>
    </xdr:sp>
    <xdr:clientData/>
  </xdr:twoCellAnchor>
  <xdr:twoCellAnchor>
    <xdr:from>
      <xdr:col>12</xdr:col>
      <xdr:colOff>0</xdr:colOff>
      <xdr:row>27</xdr:row>
      <xdr:rowOff>0</xdr:rowOff>
    </xdr:from>
    <xdr:to>
      <xdr:col>12</xdr:col>
      <xdr:colOff>0</xdr:colOff>
      <xdr:row>27</xdr:row>
      <xdr:rowOff>0</xdr:rowOff>
    </xdr:to>
    <xdr:sp macro="" textlink="">
      <xdr:nvSpPr>
        <xdr:cNvPr id="161266" name="Line 4"/>
        <xdr:cNvSpPr>
          <a:spLocks noChangeShapeType="1"/>
        </xdr:cNvSpPr>
      </xdr:nvSpPr>
      <xdr:spPr>
        <a:xfrm>
          <a:off x="15240000" y="85534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</xdr:spPr>
      <xdr:txBody>
        <a:bodyPr vertOverflow="clip" horzOverflow="clip" wrap="square" lIns="0" tIns="0" rIns="0" bIns="0"/>
        <a:lstStyle/>
        <a:p>
          <a:pPr algn="l" eaLnBrk="0" latinLnBrk="0">
            <a:lnSpc>
              <a:spcPct val="100000"/>
            </a:lnSpc>
          </a:pPr>
          <a:endParaRPr/>
        </a:p>
      </xdr:txBody>
    </xdr:sp>
    <xdr:clientData/>
  </xdr:twoCellAnchor>
  <xdr:twoCellAnchor>
    <xdr:from>
      <xdr:col>12</xdr:col>
      <xdr:colOff>0</xdr:colOff>
      <xdr:row>14</xdr:row>
      <xdr:rowOff>0</xdr:rowOff>
    </xdr:from>
    <xdr:to>
      <xdr:col>12</xdr:col>
      <xdr:colOff>0</xdr:colOff>
      <xdr:row>14</xdr:row>
      <xdr:rowOff>0</xdr:rowOff>
    </xdr:to>
    <xdr:sp macro="" textlink="">
      <xdr:nvSpPr>
        <xdr:cNvPr id="161267" name="Line 7"/>
        <xdr:cNvSpPr>
          <a:spLocks noChangeShapeType="1"/>
        </xdr:cNvSpPr>
      </xdr:nvSpPr>
      <xdr:spPr>
        <a:xfrm>
          <a:off x="15240000" y="44672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</xdr:spPr>
      <xdr:txBody>
        <a:bodyPr vertOverflow="clip" horzOverflow="clip" wrap="square" lIns="0" tIns="0" rIns="0" bIns="0"/>
        <a:lstStyle/>
        <a:p>
          <a:pPr algn="l" eaLnBrk="0" latinLnBrk="0">
            <a:lnSpc>
              <a:spcPct val="100000"/>
            </a:lnSpc>
          </a:pPr>
          <a:endParaRPr/>
        </a:p>
      </xdr:txBody>
    </xdr:sp>
    <xdr:clientData/>
  </xdr:twoCellAnchor>
</xdr:wsDr>
</file>

<file path=xl/drawings/drawing2.xml><?xml version="1.0" encoding="utf-8"?>
<xdr:wsDr xmlns:xdr="http://schemas.openxmlformats.org/drawingml/2006/spreadsheetDrawing" xmlns:a="http://schemas.openxmlformats.org/drawingml/2006/main">
  <xdr:twoCellAnchor>
    <xdr:from>
      <xdr:col>13</xdr:col>
      <xdr:colOff>0</xdr:colOff>
      <xdr:row>27</xdr:row>
      <xdr:rowOff>0</xdr:rowOff>
    </xdr:from>
    <xdr:to>
      <xdr:col>13</xdr:col>
      <xdr:colOff>0</xdr:colOff>
      <xdr:row>27</xdr:row>
      <xdr:rowOff>0</xdr:rowOff>
    </xdr:to>
    <xdr:sp macro="" textlink="">
      <xdr:nvSpPr>
        <xdr:cNvPr id="2" name="Line 1"/>
        <xdr:cNvSpPr>
          <a:spLocks noChangeShapeType="1"/>
        </xdr:cNvSpPr>
      </xdr:nvSpPr>
      <xdr:spPr>
        <a:xfrm>
          <a:off x="16935450" y="109251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</xdr:spPr>
      <xdr:txBody>
        <a:bodyPr vertOverflow="clip" horzOverflow="clip" wrap="square" lIns="0" tIns="0" rIns="0" bIns="0"/>
        <a:lstStyle/>
        <a:p>
          <a:pPr algn="l" eaLnBrk="0" latinLnBrk="0">
            <a:lnSpc>
              <a:spcPct val="100000"/>
            </a:lnSpc>
          </a:pPr>
          <a:endParaRPr/>
        </a:p>
      </xdr:txBody>
    </xdr:sp>
    <xdr:clientData/>
  </xdr:twoCellAnchor>
  <xdr:twoCellAnchor>
    <xdr:from>
      <xdr:col>13</xdr:col>
      <xdr:colOff>0</xdr:colOff>
      <xdr:row>14</xdr:row>
      <xdr:rowOff>0</xdr:rowOff>
    </xdr:from>
    <xdr:to>
      <xdr:col>13</xdr:col>
      <xdr:colOff>0</xdr:colOff>
      <xdr:row>14</xdr:row>
      <xdr:rowOff>0</xdr:rowOff>
    </xdr:to>
    <xdr:sp macro="" textlink="">
      <xdr:nvSpPr>
        <xdr:cNvPr id="3" name="Line 2"/>
        <xdr:cNvSpPr>
          <a:spLocks noChangeShapeType="1"/>
        </xdr:cNvSpPr>
      </xdr:nvSpPr>
      <xdr:spPr>
        <a:xfrm>
          <a:off x="16935450" y="51054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</xdr:spPr>
      <xdr:txBody>
        <a:bodyPr vertOverflow="clip" horzOverflow="clip" wrap="square" lIns="0" tIns="0" rIns="0" bIns="0"/>
        <a:lstStyle/>
        <a:p>
          <a:pPr algn="l" eaLnBrk="0" latinLnBrk="0">
            <a:lnSpc>
              <a:spcPct val="100000"/>
            </a:lnSpc>
          </a:pPr>
          <a:endParaRPr/>
        </a:p>
      </xdr:txBody>
    </xdr:sp>
    <xdr:clientData/>
  </xdr:twoCellAnchor>
  <xdr:twoCellAnchor>
    <xdr:from>
      <xdr:col>13</xdr:col>
      <xdr:colOff>0</xdr:colOff>
      <xdr:row>27</xdr:row>
      <xdr:rowOff>0</xdr:rowOff>
    </xdr:from>
    <xdr:to>
      <xdr:col>13</xdr:col>
      <xdr:colOff>0</xdr:colOff>
      <xdr:row>27</xdr:row>
      <xdr:rowOff>0</xdr:rowOff>
    </xdr:to>
    <xdr:sp macro="" textlink="">
      <xdr:nvSpPr>
        <xdr:cNvPr id="4" name="Line 3"/>
        <xdr:cNvSpPr>
          <a:spLocks noChangeShapeType="1"/>
        </xdr:cNvSpPr>
      </xdr:nvSpPr>
      <xdr:spPr>
        <a:xfrm>
          <a:off x="16935450" y="109251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</xdr:spPr>
      <xdr:txBody>
        <a:bodyPr vertOverflow="clip" horzOverflow="clip" wrap="square" lIns="0" tIns="0" rIns="0" bIns="0"/>
        <a:lstStyle/>
        <a:p>
          <a:pPr algn="l" eaLnBrk="0" latinLnBrk="0">
            <a:lnSpc>
              <a:spcPct val="100000"/>
            </a:lnSpc>
          </a:pPr>
          <a:endParaRPr/>
        </a:p>
      </xdr:txBody>
    </xdr:sp>
    <xdr:clientData/>
  </xdr:twoCellAnchor>
  <xdr:twoCellAnchor>
    <xdr:from>
      <xdr:col>13</xdr:col>
      <xdr:colOff>0</xdr:colOff>
      <xdr:row>27</xdr:row>
      <xdr:rowOff>0</xdr:rowOff>
    </xdr:from>
    <xdr:to>
      <xdr:col>13</xdr:col>
      <xdr:colOff>0</xdr:colOff>
      <xdr:row>27</xdr:row>
      <xdr:rowOff>0</xdr:rowOff>
    </xdr:to>
    <xdr:sp macro="" textlink="">
      <xdr:nvSpPr>
        <xdr:cNvPr id="5" name="Line 4"/>
        <xdr:cNvSpPr>
          <a:spLocks noChangeShapeType="1"/>
        </xdr:cNvSpPr>
      </xdr:nvSpPr>
      <xdr:spPr>
        <a:xfrm>
          <a:off x="16935450" y="109251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</xdr:spPr>
      <xdr:txBody>
        <a:bodyPr vertOverflow="clip" horzOverflow="clip" wrap="square" lIns="0" tIns="0" rIns="0" bIns="0"/>
        <a:lstStyle/>
        <a:p>
          <a:pPr algn="l" eaLnBrk="0" latinLnBrk="0">
            <a:lnSpc>
              <a:spcPct val="100000"/>
            </a:lnSpc>
          </a:pPr>
          <a:endParaRPr/>
        </a:p>
      </xdr:txBody>
    </xdr:sp>
    <xdr:clientData/>
  </xdr:twoCellAnchor>
  <xdr:twoCellAnchor>
    <xdr:from>
      <xdr:col>13</xdr:col>
      <xdr:colOff>0</xdr:colOff>
      <xdr:row>14</xdr:row>
      <xdr:rowOff>0</xdr:rowOff>
    </xdr:from>
    <xdr:to>
      <xdr:col>13</xdr:col>
      <xdr:colOff>0</xdr:colOff>
      <xdr:row>14</xdr:row>
      <xdr:rowOff>0</xdr:rowOff>
    </xdr:to>
    <xdr:sp macro="" textlink="">
      <xdr:nvSpPr>
        <xdr:cNvPr id="6" name="Line 7"/>
        <xdr:cNvSpPr>
          <a:spLocks noChangeShapeType="1"/>
        </xdr:cNvSpPr>
      </xdr:nvSpPr>
      <xdr:spPr>
        <a:xfrm>
          <a:off x="16935450" y="51054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</xdr:spPr>
      <xdr:txBody>
        <a:bodyPr vertOverflow="clip" horzOverflow="clip" wrap="square" lIns="0" tIns="0" rIns="0" bIns="0"/>
        <a:lstStyle/>
        <a:p>
          <a:pPr algn="l" eaLnBrk="0" latinLnBrk="0">
            <a:lnSpc>
              <a:spcPct val="100000"/>
            </a:lnSpc>
          </a:pPr>
          <a:endParaRPr/>
        </a:p>
      </xdr:txBody>
    </xdr:sp>
    <xdr:clientData/>
  </xdr:twoCellAnchor>
</xdr:wsDr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>
        <a:solidFill>
          <a:srgbClr val="FFFFFF"/>
        </a:solidFill>
        <a:ln w="9525" cap="flat" cmpd="sng" algn="ctr">
          <a:solidFill>
            <a:srgbClr val="000000"/>
          </a:solidFill>
          <a:prstDash val="solid"/>
          <a:round/>
          <a:headEnd w="med" len="med"/>
          <a:tailEnd w="med" len="med"/>
        </a:ln>
        <a:effectLst/>
      </a:spPr>
      <a:bodyPr/>
      <a:lstStyle/>
    </a:spDef>
    <a:lnDef>
      <a:spPr>
        <a:solidFill>
          <a:srgbClr val="FFFFFF"/>
        </a:solidFill>
        <a:ln w="9525" cap="flat" cmpd="sng" algn="ctr">
          <a:solidFill>
            <a:srgbClr val="000000"/>
          </a:solidFill>
          <a:prstDash val="solid"/>
          <a:round/>
          <a:headEnd w="med" len="med"/>
          <a:tailEnd w="med" len="med"/>
        </a:ln>
        <a:effectLst/>
      </a:spPr>
      <a:bodyPr/>
      <a:lstStyle/>
    </a:lnDef>
    <a:txDef>
      <a:spPr/>
      <a:bodyPr/>
      <a:lstStyle/>
    </a:txDef>
  </a:objectDefaults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3.bin"/></Relationships>
</file>

<file path=xl/worksheets/_rels/sheet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4.bin"/></Relationships>
</file>

<file path=xl/worksheets/_rels/sheet5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5.bin"/></Relationships>
</file>

<file path=xl/worksheets/_rels/sheet6.xml.rels><?xml version="1.0" encoding="UTF-8" standalone="yes"?>
<Relationships xmlns="http://schemas.openxmlformats.org/package/2006/relationships"><Relationship Id="rId3" Type="http://schemas.openxmlformats.org/officeDocument/2006/relationships/comments" Target="../comments1.xml"/><Relationship Id="rId2" Type="http://schemas.openxmlformats.org/officeDocument/2006/relationships/vmlDrawing" Target="../drawings/vmlDrawing1.vml"/><Relationship Id="rId1" Type="http://schemas.openxmlformats.org/officeDocument/2006/relationships/printerSettings" Target="../printerSettings/printerSettings6.bin"/></Relationships>
</file>

<file path=xl/worksheets/_rels/sheet7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7.bin"/></Relationships>
</file>

<file path=xl/worksheets/_rels/sheet8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8.bin"/></Relationships>
</file>

<file path=xl/worksheets/_rels/sheet9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9.bin"/></Relationships>
</file>

<file path=xl/worksheets/_rels/sheet10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2.xml"/><Relationship Id="rId1" Type="http://schemas.openxmlformats.org/officeDocument/2006/relationships/printerSettings" Target="../printerSettings/printerSettings10.bin"/></Relationships>
</file>

<file path=xl/worksheets/_rels/sheet11.xml.rels><?xml version="1.0" encoding="UTF-8" standalone="yes"?>
<Relationships xmlns="http://schemas.openxmlformats.org/package/2006/relationships"><Relationship Id="rId3" Type="http://schemas.openxmlformats.org/officeDocument/2006/relationships/comments" Target="../comments2.xml"/><Relationship Id="rId2" Type="http://schemas.openxmlformats.org/officeDocument/2006/relationships/vmlDrawing" Target="../drawings/vmlDrawing2.vml"/><Relationship Id="rId1" Type="http://schemas.openxmlformats.org/officeDocument/2006/relationships/printerSettings" Target="../printerSettings/printerSettings11.bin"/></Relationships>
</file>

<file path=xl/worksheets/_rels/sheet1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2.bin"/></Relationships>
</file>

<file path=xl/worksheets/_rels/sheet1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3.bin"/></Relationships>
</file>

<file path=xl/worksheets/_rels/sheet1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4.bin"/></Relationships>
</file>

<file path=xl/worksheets/_rels/sheet15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5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1"/>
  <dimension ref="A4:E73"/>
  <sheetViews>
    <sheetView view="pageBreakPreview" zoomScale="60" zoomScaleNormal="100" workbookViewId="0">
      <selection activeCell="A11" sqref="A11"/>
    </sheetView>
  </sheetViews>
  <sheetFormatPr defaultColWidth="9" defaultRowHeight="13.5"/>
  <cols>
    <col min="1" max="1" width="114.5" style="174" customWidth="1"/>
    <col min="2" max="2" width="40.25" style="174" customWidth="1"/>
    <col min="3" max="3" width="46.625" style="174" customWidth="1"/>
    <col min="4" max="16384" width="9" style="174"/>
  </cols>
  <sheetData>
    <row r="4" spans="1:1" ht="20.25">
      <c r="A4" s="450" t="s">
        <v>405</v>
      </c>
    </row>
    <row r="5" spans="1:1" ht="20.25">
      <c r="A5" s="450"/>
    </row>
    <row r="6" spans="1:1" ht="20.25">
      <c r="A6" s="450"/>
    </row>
    <row r="7" spans="1:1" ht="20.25">
      <c r="A7" s="450"/>
    </row>
    <row r="8" spans="1:1" ht="20.25">
      <c r="A8" s="450"/>
    </row>
    <row r="9" spans="1:1" ht="20.25">
      <c r="A9" s="450"/>
    </row>
    <row r="10" spans="1:1" ht="20.25">
      <c r="A10" s="450"/>
    </row>
    <row r="11" spans="1:1" ht="79.5" customHeight="1">
      <c r="A11" s="451" t="s">
        <v>542</v>
      </c>
    </row>
    <row r="12" spans="1:1" ht="46.5">
      <c r="A12" s="452" t="s">
        <v>13</v>
      </c>
    </row>
    <row r="13" spans="1:1" ht="46.5">
      <c r="A13" s="451"/>
    </row>
    <row r="14" spans="1:1" ht="46.5">
      <c r="A14" s="451"/>
    </row>
    <row r="15" spans="1:1" ht="46.5">
      <c r="A15" s="451"/>
    </row>
    <row r="16" spans="1:1" ht="46.5">
      <c r="A16" s="451"/>
    </row>
    <row r="17" spans="1:1" ht="19.5" customHeight="1">
      <c r="A17" s="451"/>
    </row>
    <row r="18" spans="1:1" ht="19.5" customHeight="1">
      <c r="A18" s="451"/>
    </row>
    <row r="19" spans="1:1" ht="19.5" customHeight="1">
      <c r="A19" s="451"/>
    </row>
    <row r="23" spans="1:1" ht="19.5">
      <c r="A23" s="453" t="s">
        <v>523</v>
      </c>
    </row>
    <row r="24" spans="1:1" ht="31.5">
      <c r="A24" s="454" t="s">
        <v>272</v>
      </c>
    </row>
    <row r="67" spans="5:5" hidden="1">
      <c r="E67" s="174">
        <v>0</v>
      </c>
    </row>
    <row r="73" spans="5:5" hidden="1"/>
  </sheetData>
  <phoneticPr fontId="65" type="noConversion"/>
  <pageMargins left="0.75" right="0.75" top="1" bottom="1" header="0.5" footer="0.5"/>
  <pageSetup paperSize="9" orientation="portrait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2"/>
  <dimension ref="A2:N147"/>
  <sheetViews>
    <sheetView view="pageBreakPreview" zoomScaleNormal="100" zoomScaleSheetLayoutView="100" workbookViewId="0">
      <selection activeCell="D10" sqref="D10"/>
    </sheetView>
  </sheetViews>
  <sheetFormatPr defaultColWidth="9" defaultRowHeight="18.75"/>
  <cols>
    <col min="1" max="1" width="7.5" style="8" customWidth="1"/>
    <col min="2" max="2" width="8" style="8" customWidth="1"/>
    <col min="3" max="3" width="13.75" style="8" customWidth="1"/>
    <col min="4" max="4" width="15.875" style="8" customWidth="1"/>
    <col min="5" max="5" width="3.5" style="8" customWidth="1"/>
    <col min="6" max="6" width="4" style="8" customWidth="1"/>
    <col min="7" max="7" width="3.75" style="8" customWidth="1"/>
    <col min="8" max="8" width="13.5" style="8" customWidth="1"/>
    <col min="9" max="9" width="15.25" style="8" customWidth="1"/>
    <col min="10" max="10" width="7.5" style="8" customWidth="1"/>
    <col min="11" max="11" width="3.125" style="8" customWidth="1"/>
    <col min="12" max="13" width="9" style="8"/>
    <col min="14" max="14" width="20" style="8" customWidth="1"/>
    <col min="15" max="16384" width="9" style="8"/>
  </cols>
  <sheetData>
    <row r="2" spans="1:14" ht="24" customHeight="1">
      <c r="A2" s="827" t="s">
        <v>34</v>
      </c>
      <c r="B2" s="827"/>
      <c r="C2" s="827"/>
      <c r="D2" s="827"/>
      <c r="E2" s="827"/>
      <c r="F2" s="827"/>
      <c r="G2" s="827"/>
      <c r="H2" s="827"/>
      <c r="I2" s="827"/>
      <c r="J2" s="827"/>
      <c r="K2" s="15"/>
    </row>
    <row r="3" spans="1:14" s="16" customFormat="1" ht="25.5" customHeight="1">
      <c r="A3" s="17"/>
      <c r="B3" s="17"/>
      <c r="C3" s="17"/>
      <c r="D3" s="17"/>
      <c r="E3" s="17"/>
      <c r="F3" s="17"/>
      <c r="G3" s="17"/>
      <c r="H3" s="17"/>
      <c r="I3" s="17"/>
      <c r="J3" s="17"/>
      <c r="K3" s="17"/>
    </row>
    <row r="4" spans="1:14" s="16" customFormat="1" ht="15" customHeight="1">
      <c r="A4" s="1" t="s">
        <v>106</v>
      </c>
      <c r="B4" s="1" t="s">
        <v>6</v>
      </c>
      <c r="C4" s="1"/>
      <c r="D4" s="1"/>
      <c r="E4" s="1"/>
      <c r="F4" s="1"/>
      <c r="G4" s="1"/>
      <c r="H4" s="1"/>
      <c r="I4" s="1"/>
      <c r="J4" s="1"/>
      <c r="K4" s="1"/>
    </row>
    <row r="5" spans="1:14" s="16" customFormat="1" ht="15" customHeight="1">
      <c r="A5" s="6"/>
      <c r="B5" s="23" t="s">
        <v>185</v>
      </c>
      <c r="C5" s="6"/>
      <c r="D5" s="6"/>
      <c r="E5" s="6"/>
      <c r="F5" s="6"/>
      <c r="G5" s="6"/>
      <c r="H5" s="6"/>
      <c r="I5" s="6"/>
      <c r="J5" s="6"/>
      <c r="K5" s="6"/>
    </row>
    <row r="6" spans="1:14" s="16" customFormat="1" ht="11.25" customHeight="1">
      <c r="A6" s="6"/>
      <c r="B6" s="6"/>
      <c r="C6" s="6"/>
      <c r="D6" s="6"/>
      <c r="E6" s="6"/>
      <c r="F6" s="6"/>
      <c r="G6" s="6"/>
      <c r="H6" s="6"/>
      <c r="I6" s="6"/>
      <c r="J6" s="6"/>
      <c r="K6" s="6"/>
    </row>
    <row r="7" spans="1:14" s="16" customFormat="1" ht="15" customHeight="1">
      <c r="A7" s="1" t="s">
        <v>143</v>
      </c>
      <c r="B7" s="1" t="s">
        <v>33</v>
      </c>
      <c r="C7" s="1"/>
      <c r="D7" s="18">
        <f>'나. 세입세출(총괄)'!E7</f>
        <v>133326000</v>
      </c>
      <c r="E7" s="1" t="s">
        <v>437</v>
      </c>
      <c r="F7" s="1"/>
      <c r="G7" s="1" t="s">
        <v>525</v>
      </c>
      <c r="H7" s="1"/>
      <c r="I7" s="1"/>
      <c r="J7" s="1"/>
      <c r="K7" s="1"/>
      <c r="N7" s="9"/>
    </row>
    <row r="8" spans="1:14" s="16" customFormat="1" ht="6.75" customHeight="1">
      <c r="A8" s="1"/>
      <c r="B8" s="1"/>
      <c r="C8" s="1"/>
      <c r="D8" s="1"/>
      <c r="E8" s="1"/>
      <c r="F8" s="1"/>
      <c r="G8" s="1"/>
      <c r="H8" s="1"/>
      <c r="I8" s="1"/>
      <c r="J8" s="1"/>
      <c r="K8" s="1"/>
    </row>
    <row r="9" spans="1:14" s="16" customFormat="1" ht="15" customHeight="1">
      <c r="A9" s="1"/>
      <c r="B9" s="18" t="s">
        <v>536</v>
      </c>
      <c r="C9" s="18"/>
      <c r="D9" s="18"/>
      <c r="E9" s="18"/>
      <c r="F9" s="18"/>
      <c r="G9" s="18"/>
      <c r="H9" s="18"/>
      <c r="I9" s="1"/>
      <c r="J9" s="1"/>
      <c r="K9" s="1"/>
      <c r="N9" s="9"/>
    </row>
    <row r="10" spans="1:14" s="16" customFormat="1" ht="15" customHeight="1">
      <c r="A10" s="1"/>
      <c r="B10" s="18" t="s">
        <v>457</v>
      </c>
      <c r="C10" s="7" t="s">
        <v>432</v>
      </c>
      <c r="D10" s="18">
        <f>'나. 세입세출(총괄)'!E8</f>
        <v>19200000</v>
      </c>
      <c r="E10" s="18" t="s">
        <v>121</v>
      </c>
      <c r="F10" s="18"/>
      <c r="G10" s="18" t="s">
        <v>104</v>
      </c>
      <c r="H10" s="7" t="s">
        <v>413</v>
      </c>
      <c r="I10" s="19">
        <f>'나. 세입세출(총괄)'!E11</f>
        <v>0</v>
      </c>
      <c r="J10" s="18" t="s">
        <v>121</v>
      </c>
      <c r="K10" s="1"/>
    </row>
    <row r="11" spans="1:14" s="16" customFormat="1" ht="15" customHeight="1">
      <c r="A11" s="1"/>
      <c r="B11" s="18" t="s">
        <v>451</v>
      </c>
      <c r="C11" s="7" t="s">
        <v>423</v>
      </c>
      <c r="D11" s="18">
        <f>'나. 세입세출(총괄)'!E17</f>
        <v>100425000</v>
      </c>
      <c r="E11" s="18" t="s">
        <v>121</v>
      </c>
      <c r="F11" s="18"/>
      <c r="G11" s="18" t="s">
        <v>133</v>
      </c>
      <c r="H11" s="7" t="s">
        <v>439</v>
      </c>
      <c r="I11" s="18">
        <f>'나. 세입세출(총괄)'!E22</f>
        <v>0</v>
      </c>
      <c r="J11" s="18" t="s">
        <v>121</v>
      </c>
      <c r="K11" s="1"/>
    </row>
    <row r="12" spans="1:14" s="16" customFormat="1" ht="15" customHeight="1">
      <c r="A12" s="1"/>
      <c r="B12" s="18" t="s">
        <v>441</v>
      </c>
      <c r="C12" s="7" t="s">
        <v>144</v>
      </c>
      <c r="D12" s="18">
        <f>'나. 세입세출(총괄)'!E26</f>
        <v>0</v>
      </c>
      <c r="E12" s="18" t="s">
        <v>121</v>
      </c>
      <c r="F12" s="18"/>
      <c r="G12" s="18" t="s">
        <v>169</v>
      </c>
      <c r="H12" s="7" t="s">
        <v>119</v>
      </c>
      <c r="I12" s="18">
        <f>'나. 세입세출(총괄)'!E29</f>
        <v>13603816</v>
      </c>
      <c r="J12" s="18" t="s">
        <v>121</v>
      </c>
      <c r="K12" s="1"/>
    </row>
    <row r="13" spans="1:14" s="16" customFormat="1" ht="15" customHeight="1">
      <c r="A13" s="1"/>
      <c r="B13" s="18" t="s">
        <v>421</v>
      </c>
      <c r="C13" s="7" t="s">
        <v>176</v>
      </c>
      <c r="D13" s="18">
        <f>'나. 세입세출(총괄)'!E34</f>
        <v>97184</v>
      </c>
      <c r="E13" s="18" t="s">
        <v>121</v>
      </c>
      <c r="F13" s="18"/>
      <c r="G13" s="18" t="s">
        <v>173</v>
      </c>
      <c r="H13" s="7"/>
      <c r="I13" s="18"/>
      <c r="J13" s="18" t="s">
        <v>121</v>
      </c>
      <c r="K13" s="1"/>
    </row>
    <row r="14" spans="1:14" s="16" customFormat="1" ht="7.5" customHeight="1">
      <c r="A14" s="1"/>
      <c r="B14" s="18"/>
      <c r="C14" s="18"/>
      <c r="D14" s="18"/>
      <c r="E14" s="18"/>
      <c r="F14" s="18"/>
      <c r="G14" s="18"/>
      <c r="H14" s="18"/>
      <c r="I14" s="18"/>
      <c r="J14" s="18"/>
      <c r="K14" s="1"/>
    </row>
    <row r="15" spans="1:14" s="16" customFormat="1" ht="15" customHeight="1">
      <c r="A15" s="1"/>
      <c r="B15" s="18" t="s">
        <v>192</v>
      </c>
      <c r="C15" s="18"/>
      <c r="D15" s="18"/>
      <c r="E15" s="18"/>
      <c r="F15" s="18"/>
      <c r="G15" s="18"/>
      <c r="H15" s="18"/>
      <c r="I15" s="1"/>
      <c r="J15" s="1"/>
      <c r="K15" s="1"/>
      <c r="N15" s="9"/>
    </row>
    <row r="16" spans="1:14" s="16" customFormat="1" ht="15" customHeight="1">
      <c r="A16" s="1"/>
      <c r="B16" s="18" t="s">
        <v>448</v>
      </c>
      <c r="C16" s="7" t="s">
        <v>163</v>
      </c>
      <c r="D16" s="18">
        <f>'나. 세입세출(총괄)'!L8</f>
        <v>102417060</v>
      </c>
      <c r="E16" s="18" t="s">
        <v>121</v>
      </c>
      <c r="F16" s="18"/>
      <c r="G16" s="18" t="s">
        <v>104</v>
      </c>
      <c r="H16" s="7" t="s">
        <v>449</v>
      </c>
      <c r="I16" s="19">
        <f>'나. 세입세출(총괄)'!L26</f>
        <v>2250000</v>
      </c>
      <c r="J16" s="18" t="s">
        <v>121</v>
      </c>
      <c r="K16" s="1"/>
    </row>
    <row r="17" spans="1:14" s="16" customFormat="1" ht="15" customHeight="1">
      <c r="A17" s="1"/>
      <c r="B17" s="18" t="s">
        <v>451</v>
      </c>
      <c r="C17" s="7" t="s">
        <v>178</v>
      </c>
      <c r="D17" s="18">
        <f>'나. 세입세출(총괄)'!L31</f>
        <v>22744000</v>
      </c>
      <c r="E17" s="18" t="s">
        <v>121</v>
      </c>
      <c r="F17" s="18"/>
      <c r="G17" s="18" t="s">
        <v>133</v>
      </c>
      <c r="H17" s="7" t="s">
        <v>109</v>
      </c>
      <c r="I17" s="18">
        <f>'나. 세입세출(총괄)'!L49</f>
        <v>74410</v>
      </c>
      <c r="J17" s="18" t="s">
        <v>121</v>
      </c>
      <c r="K17" s="1"/>
    </row>
    <row r="18" spans="1:14" s="16" customFormat="1" ht="15" customHeight="1">
      <c r="A18" s="1"/>
      <c r="B18" s="18" t="s">
        <v>441</v>
      </c>
      <c r="C18" s="7" t="s">
        <v>462</v>
      </c>
      <c r="D18" s="18">
        <f>'나. 세입세출(총괄)'!L52</f>
        <v>5840530</v>
      </c>
      <c r="E18" s="18" t="s">
        <v>121</v>
      </c>
      <c r="F18" s="18"/>
      <c r="G18" s="18" t="s">
        <v>169</v>
      </c>
      <c r="H18" s="7"/>
      <c r="I18" s="18"/>
      <c r="J18" s="18" t="s">
        <v>121</v>
      </c>
      <c r="K18" s="1"/>
    </row>
    <row r="19" spans="1:14" s="16" customFormat="1" ht="15" customHeight="1">
      <c r="A19" s="1"/>
      <c r="B19" s="18" t="s">
        <v>421</v>
      </c>
      <c r="C19" s="7"/>
      <c r="D19" s="18"/>
      <c r="E19" s="18" t="s">
        <v>121</v>
      </c>
      <c r="F19" s="18"/>
      <c r="G19" s="18"/>
      <c r="H19" s="7"/>
      <c r="I19" s="18"/>
      <c r="J19" s="18"/>
      <c r="K19" s="1"/>
    </row>
    <row r="20" spans="1:14" s="16" customFormat="1" ht="7.5" customHeight="1">
      <c r="A20" s="1"/>
      <c r="B20" s="18"/>
      <c r="C20" s="18"/>
      <c r="D20" s="18"/>
      <c r="E20" s="18"/>
      <c r="F20" s="18"/>
      <c r="G20" s="18"/>
      <c r="H20" s="18"/>
      <c r="I20" s="18"/>
      <c r="J20" s="18"/>
      <c r="K20" s="1"/>
    </row>
    <row r="21" spans="1:14" s="16" customFormat="1" ht="15" customHeight="1">
      <c r="A21" s="1"/>
      <c r="B21" s="18" t="s">
        <v>196</v>
      </c>
      <c r="C21" s="18"/>
      <c r="D21" s="7" t="s">
        <v>366</v>
      </c>
      <c r="E21" s="18"/>
      <c r="F21" s="18"/>
      <c r="G21" s="20" t="s">
        <v>197</v>
      </c>
      <c r="I21" s="25">
        <v>0</v>
      </c>
      <c r="J21" s="18" t="s">
        <v>393</v>
      </c>
      <c r="K21" s="1"/>
    </row>
    <row r="22" spans="1:14" s="16" customFormat="1" ht="7.5" customHeight="1">
      <c r="A22" s="1"/>
      <c r="B22" s="18"/>
      <c r="C22" s="18"/>
      <c r="D22" s="18"/>
      <c r="E22" s="18"/>
      <c r="F22" s="18"/>
      <c r="G22" s="20"/>
      <c r="I22" s="18"/>
      <c r="J22" s="18"/>
      <c r="K22" s="1"/>
    </row>
    <row r="23" spans="1:14" s="448" customFormat="1" ht="13.5">
      <c r="A23" s="444"/>
      <c r="B23" s="445" t="s">
        <v>246</v>
      </c>
      <c r="C23" s="445"/>
      <c r="D23" s="7" t="s">
        <v>366</v>
      </c>
      <c r="E23" s="18"/>
      <c r="F23" s="18"/>
      <c r="G23" s="20" t="s">
        <v>197</v>
      </c>
      <c r="H23" s="16"/>
      <c r="I23" s="25">
        <v>0</v>
      </c>
      <c r="J23" s="18" t="s">
        <v>393</v>
      </c>
      <c r="K23" s="447"/>
    </row>
    <row r="24" spans="1:14" s="448" customFormat="1" ht="13.5">
      <c r="A24" s="444"/>
      <c r="B24" s="445"/>
      <c r="C24" s="445"/>
      <c r="D24" s="828"/>
      <c r="E24" s="828"/>
      <c r="F24" s="828"/>
      <c r="G24" s="20"/>
      <c r="H24" s="24"/>
      <c r="I24" s="446"/>
      <c r="J24" s="447"/>
      <c r="K24" s="449"/>
    </row>
    <row r="25" spans="1:14" s="16" customFormat="1" ht="13.5">
      <c r="A25" s="1"/>
      <c r="B25" s="18"/>
      <c r="C25" s="18"/>
      <c r="D25" s="19"/>
      <c r="E25" s="18"/>
      <c r="F25" s="18"/>
      <c r="G25" s="18"/>
      <c r="H25" s="18"/>
      <c r="I25" s="19"/>
      <c r="J25" s="18"/>
      <c r="K25" s="1"/>
      <c r="N25" s="22"/>
    </row>
    <row r="26" spans="1:14" s="16" customFormat="1" ht="15" customHeight="1">
      <c r="A26" s="1" t="s">
        <v>111</v>
      </c>
      <c r="B26" s="1" t="s">
        <v>186</v>
      </c>
      <c r="C26" s="1"/>
      <c r="D26" s="1"/>
      <c r="E26" s="1"/>
      <c r="F26" s="1"/>
      <c r="G26" s="1"/>
      <c r="H26" s="1"/>
      <c r="I26" s="1"/>
      <c r="J26" s="1"/>
      <c r="K26" s="1"/>
    </row>
    <row r="27" spans="1:14" s="16" customFormat="1" ht="10.5" customHeight="1">
      <c r="A27" s="1"/>
      <c r="B27" s="1"/>
      <c r="C27" s="1"/>
      <c r="D27" s="1"/>
      <c r="E27" s="1"/>
      <c r="F27" s="1"/>
      <c r="G27" s="1"/>
      <c r="H27" s="1"/>
      <c r="I27" s="1"/>
      <c r="J27" s="1"/>
      <c r="K27" s="1"/>
    </row>
    <row r="28" spans="1:14" s="16" customFormat="1" ht="15" customHeight="1">
      <c r="A28" s="1" t="s">
        <v>129</v>
      </c>
      <c r="B28" s="1" t="s">
        <v>5</v>
      </c>
      <c r="C28" s="1"/>
      <c r="D28" s="1"/>
      <c r="E28" s="1"/>
      <c r="F28" s="1"/>
      <c r="G28" s="1"/>
      <c r="H28" s="1"/>
      <c r="I28" s="1"/>
      <c r="J28" s="1"/>
      <c r="K28" s="1"/>
    </row>
    <row r="29" spans="1:14" s="16" customFormat="1" ht="15" customHeight="1">
      <c r="A29" s="1"/>
      <c r="B29" s="1" t="s">
        <v>12</v>
      </c>
      <c r="C29" s="1"/>
      <c r="D29" s="1"/>
      <c r="E29" s="1"/>
      <c r="F29" s="1"/>
      <c r="G29" s="1"/>
      <c r="H29" s="1"/>
      <c r="I29" s="1"/>
      <c r="J29" s="1"/>
      <c r="K29" s="1"/>
    </row>
    <row r="30" spans="1:14" s="16" customFormat="1" ht="10.5" customHeight="1">
      <c r="A30" s="1"/>
      <c r="B30" s="1"/>
      <c r="C30" s="1"/>
      <c r="D30" s="1"/>
      <c r="E30" s="1"/>
      <c r="F30" s="1"/>
      <c r="G30" s="1"/>
      <c r="H30" s="1"/>
      <c r="I30" s="1"/>
      <c r="J30" s="1"/>
      <c r="K30" s="1"/>
    </row>
    <row r="31" spans="1:14" s="16" customFormat="1" ht="15" customHeight="1">
      <c r="A31" s="1" t="s">
        <v>151</v>
      </c>
      <c r="B31" s="1" t="s">
        <v>8</v>
      </c>
      <c r="C31" s="1"/>
      <c r="D31" s="1"/>
      <c r="E31" s="1"/>
      <c r="F31" s="1"/>
      <c r="G31" s="1"/>
      <c r="H31" s="1"/>
      <c r="I31" s="1"/>
      <c r="J31" s="1"/>
      <c r="K31" s="1"/>
    </row>
    <row r="32" spans="1:14" s="16" customFormat="1" ht="15" customHeight="1">
      <c r="A32" s="1"/>
      <c r="B32" s="1" t="s">
        <v>524</v>
      </c>
      <c r="C32" s="1"/>
      <c r="D32" s="1"/>
      <c r="E32" s="1"/>
      <c r="F32" s="1"/>
      <c r="G32" s="1"/>
      <c r="H32" s="1"/>
      <c r="I32" s="1"/>
      <c r="J32" s="1"/>
      <c r="K32" s="1"/>
    </row>
    <row r="33" spans="1:11" s="16" customFormat="1" ht="10.5" customHeight="1">
      <c r="A33" s="1"/>
      <c r="B33" s="1"/>
      <c r="C33" s="1"/>
      <c r="D33" s="1"/>
      <c r="E33" s="1"/>
      <c r="F33" s="1"/>
      <c r="G33" s="1"/>
      <c r="H33" s="1"/>
      <c r="I33" s="1"/>
      <c r="J33" s="1"/>
      <c r="K33" s="1"/>
    </row>
    <row r="34" spans="1:11" s="16" customFormat="1" ht="15" customHeight="1">
      <c r="A34" s="1" t="s">
        <v>126</v>
      </c>
      <c r="B34" s="1" t="s">
        <v>1</v>
      </c>
      <c r="C34" s="1"/>
      <c r="D34" s="1"/>
      <c r="E34" s="1"/>
      <c r="F34" s="1"/>
      <c r="G34" s="1"/>
      <c r="H34" s="1"/>
      <c r="I34" s="1"/>
      <c r="J34" s="1"/>
      <c r="K34" s="1"/>
    </row>
    <row r="35" spans="1:11" s="16" customFormat="1" ht="15" customHeight="1">
      <c r="A35" s="1"/>
      <c r="B35" s="1" t="s">
        <v>184</v>
      </c>
      <c r="C35" s="1"/>
      <c r="D35" s="1"/>
      <c r="E35" s="1"/>
      <c r="F35" s="1"/>
      <c r="G35" s="1"/>
      <c r="H35" s="1"/>
      <c r="I35" s="1"/>
      <c r="J35" s="1"/>
      <c r="K35" s="1"/>
    </row>
    <row r="36" spans="1:11" s="16" customFormat="1" ht="10.5" customHeight="1">
      <c r="A36" s="1"/>
      <c r="B36" s="1"/>
      <c r="C36" s="1"/>
      <c r="D36" s="1"/>
      <c r="E36" s="1"/>
      <c r="F36" s="1"/>
      <c r="G36" s="1"/>
      <c r="H36" s="1"/>
      <c r="I36" s="1"/>
      <c r="J36" s="1"/>
      <c r="K36" s="1"/>
    </row>
    <row r="37" spans="1:11" s="16" customFormat="1" ht="15" customHeight="1">
      <c r="A37" s="1" t="s">
        <v>134</v>
      </c>
      <c r="B37" s="1" t="s">
        <v>10</v>
      </c>
      <c r="C37" s="1"/>
      <c r="D37" s="1"/>
      <c r="E37" s="1"/>
      <c r="F37" s="1"/>
      <c r="G37" s="1"/>
      <c r="H37" s="1"/>
      <c r="I37" s="1"/>
      <c r="J37" s="1"/>
      <c r="K37" s="1"/>
    </row>
    <row r="38" spans="1:11" s="16" customFormat="1" ht="15" customHeight="1">
      <c r="A38" s="1"/>
      <c r="B38" s="1" t="s">
        <v>2</v>
      </c>
      <c r="C38" s="1"/>
      <c r="D38" s="1"/>
      <c r="E38" s="1"/>
      <c r="F38" s="1"/>
      <c r="G38" s="1"/>
      <c r="H38" s="1"/>
      <c r="I38" s="1"/>
      <c r="J38" s="1"/>
      <c r="K38" s="1"/>
    </row>
    <row r="39" spans="1:11" s="16" customFormat="1" ht="15" customHeight="1">
      <c r="A39" s="1"/>
      <c r="B39" s="1" t="s">
        <v>530</v>
      </c>
      <c r="C39" s="1"/>
      <c r="D39" s="1"/>
      <c r="E39" s="1"/>
      <c r="F39" s="1"/>
      <c r="G39" s="1"/>
      <c r="H39" s="1"/>
      <c r="I39" s="1"/>
      <c r="J39" s="1"/>
      <c r="K39" s="1"/>
    </row>
    <row r="40" spans="1:11" s="16" customFormat="1" ht="10.5" customHeight="1"/>
    <row r="41" spans="1:11" s="16" customFormat="1" ht="15" customHeight="1">
      <c r="A41" s="16" t="s">
        <v>124</v>
      </c>
      <c r="B41" s="16" t="s">
        <v>7</v>
      </c>
    </row>
    <row r="42" spans="1:11" s="16" customFormat="1" ht="15" customHeight="1">
      <c r="B42" s="16" t="s">
        <v>181</v>
      </c>
    </row>
    <row r="43" spans="1:11" s="16" customFormat="1" ht="15" customHeight="1">
      <c r="B43" s="16" t="s">
        <v>4</v>
      </c>
    </row>
    <row r="44" spans="1:11" s="16" customFormat="1" ht="15" customHeight="1">
      <c r="B44" s="16" t="s">
        <v>198</v>
      </c>
    </row>
    <row r="45" spans="1:11" s="16" customFormat="1" ht="13.7" customHeight="1"/>
    <row r="46" spans="1:11" s="16" customFormat="1" ht="15" customHeight="1">
      <c r="A46" s="16" t="s">
        <v>135</v>
      </c>
      <c r="B46" s="16" t="s">
        <v>3</v>
      </c>
    </row>
    <row r="47" spans="1:11" s="16" customFormat="1" ht="15" customHeight="1">
      <c r="B47" s="16" t="s">
        <v>52</v>
      </c>
    </row>
    <row r="48" spans="1:11" s="16" customFormat="1" ht="15" customHeight="1">
      <c r="B48" s="16" t="s">
        <v>537</v>
      </c>
    </row>
    <row r="49" s="16" customFormat="1" ht="15" customHeight="1"/>
    <row r="50" s="16" customFormat="1" ht="15" customHeight="1"/>
    <row r="51" s="16" customFormat="1" ht="15" customHeight="1"/>
    <row r="52" s="16" customFormat="1" ht="15" customHeight="1"/>
    <row r="53" s="16" customFormat="1" ht="13.5"/>
    <row r="54" s="16" customFormat="1" ht="13.5"/>
    <row r="55" s="16" customFormat="1" ht="13.5"/>
    <row r="56" s="16" customFormat="1" ht="13.5"/>
    <row r="57" s="16" customFormat="1" ht="13.5"/>
    <row r="58" s="16" customFormat="1" ht="13.5"/>
    <row r="59" s="16" customFormat="1" ht="13.5"/>
    <row r="60" s="16" customFormat="1" ht="13.5"/>
    <row r="61" s="16" customFormat="1" ht="13.5"/>
    <row r="62" s="16" customFormat="1" ht="13.5"/>
    <row r="63" s="16" customFormat="1" ht="13.5"/>
    <row r="64" s="16" customFormat="1" ht="13.5"/>
    <row r="65" s="16" customFormat="1" ht="13.5"/>
    <row r="66" s="16" customFormat="1" ht="13.5"/>
    <row r="67" s="16" customFormat="1" ht="13.5"/>
    <row r="68" s="16" customFormat="1" ht="13.5"/>
    <row r="69" s="16" customFormat="1" ht="13.5"/>
    <row r="70" s="16" customFormat="1" ht="13.5"/>
    <row r="71" s="16" customFormat="1" ht="13.5"/>
    <row r="72" s="16" customFormat="1" ht="13.5"/>
    <row r="73" s="16" customFormat="1" ht="13.5"/>
    <row r="74" s="16" customFormat="1" ht="13.5"/>
    <row r="75" s="16" customFormat="1" ht="13.5"/>
    <row r="76" s="16" customFormat="1" ht="13.5"/>
    <row r="77" s="16" customFormat="1" ht="13.5"/>
    <row r="78" s="16" customFormat="1" ht="13.5"/>
    <row r="79" s="16" customFormat="1" ht="13.5"/>
    <row r="80" s="16" customFormat="1" ht="13.5"/>
    <row r="81" s="16" customFormat="1" ht="13.5"/>
    <row r="82" s="16" customFormat="1" ht="13.5"/>
    <row r="83" s="16" customFormat="1" ht="13.5"/>
    <row r="84" s="16" customFormat="1" ht="13.5"/>
    <row r="85" s="16" customFormat="1" ht="13.5"/>
    <row r="86" s="16" customFormat="1" ht="13.5"/>
    <row r="87" s="16" customFormat="1" ht="13.5"/>
    <row r="88" s="16" customFormat="1" ht="13.5"/>
    <row r="89" s="16" customFormat="1" ht="13.5"/>
    <row r="90" s="16" customFormat="1" ht="13.5"/>
    <row r="91" s="16" customFormat="1" ht="13.5"/>
    <row r="92" s="16" customFormat="1" ht="13.5"/>
    <row r="93" s="16" customFormat="1" ht="13.5"/>
    <row r="94" s="16" customFormat="1" ht="13.5"/>
    <row r="95" s="16" customFormat="1" ht="13.5"/>
    <row r="96" s="16" customFormat="1" ht="13.5"/>
    <row r="97" s="16" customFormat="1" ht="13.5"/>
    <row r="98" s="16" customFormat="1" ht="13.5"/>
    <row r="99" s="16" customFormat="1" ht="13.5"/>
    <row r="100" s="16" customFormat="1" ht="13.5"/>
    <row r="101" s="16" customFormat="1" ht="13.5"/>
    <row r="102" s="16" customFormat="1" ht="13.5"/>
    <row r="103" s="16" customFormat="1" ht="13.5"/>
    <row r="104" s="16" customFormat="1" ht="13.5"/>
    <row r="105" s="16" customFormat="1" ht="13.5"/>
    <row r="106" s="16" customFormat="1" ht="13.5"/>
    <row r="107" s="16" customFormat="1" ht="13.5"/>
    <row r="108" s="16" customFormat="1" ht="13.5"/>
    <row r="109" s="16" customFormat="1" ht="13.5"/>
    <row r="110" s="16" customFormat="1" ht="13.5"/>
    <row r="111" s="16" customFormat="1" ht="13.5"/>
    <row r="112" s="16" customFormat="1" ht="13.5"/>
    <row r="113" s="16" customFormat="1" ht="13.5"/>
    <row r="114" s="16" customFormat="1" ht="13.5"/>
    <row r="115" s="16" customFormat="1" ht="13.5"/>
    <row r="116" s="16" customFormat="1" ht="13.5"/>
    <row r="117" s="16" customFormat="1" ht="13.5"/>
    <row r="118" s="16" customFormat="1" ht="13.5"/>
    <row r="119" s="16" customFormat="1" ht="13.5"/>
    <row r="120" s="16" customFormat="1" ht="13.5"/>
    <row r="121" s="16" customFormat="1" ht="13.5"/>
    <row r="122" s="16" customFormat="1" ht="13.5"/>
    <row r="123" s="16" customFormat="1" ht="13.5"/>
    <row r="124" s="16" customFormat="1" ht="13.5"/>
    <row r="125" s="16" customFormat="1" ht="13.5"/>
    <row r="126" s="16" customFormat="1" ht="13.5"/>
    <row r="127" s="16" customFormat="1" ht="13.5"/>
    <row r="128" s="16" customFormat="1" ht="13.5"/>
    <row r="129" s="16" customFormat="1" ht="13.5"/>
    <row r="130" s="16" customFormat="1" ht="13.5"/>
    <row r="131" s="16" customFormat="1" ht="13.5"/>
    <row r="132" s="16" customFormat="1" ht="13.5"/>
    <row r="133" s="16" customFormat="1" ht="13.5"/>
    <row r="134" s="16" customFormat="1" ht="13.5"/>
    <row r="135" s="16" customFormat="1" ht="13.5"/>
    <row r="136" s="16" customFormat="1" ht="13.5"/>
    <row r="137" s="16" customFormat="1" ht="13.5"/>
    <row r="138" s="16" customFormat="1" ht="13.5"/>
    <row r="139" s="16" customFormat="1" ht="13.5"/>
    <row r="140" s="16" customFormat="1" ht="13.5"/>
    <row r="141" s="16" customFormat="1" ht="13.5"/>
    <row r="142" s="16" customFormat="1" ht="13.5"/>
    <row r="143" s="16" customFormat="1" ht="13.5"/>
    <row r="144" s="16" customFormat="1" ht="13.5"/>
    <row r="145" s="16" customFormat="1" ht="13.5"/>
    <row r="146" s="16" customFormat="1" ht="13.5"/>
    <row r="147" s="16" customFormat="1" ht="13.5"/>
  </sheetData>
  <mergeCells count="2">
    <mergeCell ref="A2:J2"/>
    <mergeCell ref="D24:F24"/>
  </mergeCells>
  <phoneticPr fontId="65" type="noConversion"/>
  <pageMargins left="0.75" right="0.25" top="0.79000002145767212" bottom="0.70972222089767456" header="0.51972222328186035" footer="0.5"/>
  <pageSetup paperSize="9" scale="94" orientation="portrait" r:id="rId1"/>
  <colBreaks count="1" manualBreakCount="1">
    <brk id="10" max="16383" man="1"/>
  </colBreaks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3">
    <tabColor rgb="FFFCD5B5"/>
    <pageSetUpPr fitToPage="1"/>
  </sheetPr>
  <dimension ref="A1:S55"/>
  <sheetViews>
    <sheetView zoomScaleNormal="100" zoomScaleSheetLayoutView="100" workbookViewId="0">
      <selection activeCell="F11" sqref="F11"/>
    </sheetView>
  </sheetViews>
  <sheetFormatPr defaultColWidth="9" defaultRowHeight="12.95" customHeight="1"/>
  <cols>
    <col min="1" max="2" width="9" style="622"/>
    <col min="3" max="3" width="16.25" style="622" customWidth="1"/>
    <col min="4" max="5" width="13.75" style="625" customWidth="1"/>
    <col min="6" max="6" width="10.25" style="625" customWidth="1"/>
    <col min="7" max="7" width="10" style="625" customWidth="1"/>
    <col min="8" max="8" width="10.75" style="622" customWidth="1"/>
    <col min="9" max="9" width="9" style="622"/>
    <col min="10" max="10" width="16.25" style="623" customWidth="1"/>
    <col min="11" max="12" width="13.75" style="625" customWidth="1"/>
    <col min="13" max="13" width="10.125" style="625" customWidth="1"/>
    <col min="14" max="14" width="9.25" style="625" customWidth="1"/>
    <col min="15" max="15" width="6.625" style="630" customWidth="1"/>
    <col min="16" max="16" width="4.875" style="775" customWidth="1"/>
    <col min="17" max="18" width="8.75" style="776" customWidth="1"/>
    <col min="19" max="19" width="6.75" style="775" customWidth="1"/>
    <col min="20" max="20" width="5" style="630" customWidth="1"/>
    <col min="21" max="22" width="5.5" style="630" customWidth="1"/>
    <col min="23" max="23" width="6.375" style="630" customWidth="1"/>
    <col min="24" max="16384" width="9" style="630"/>
  </cols>
  <sheetData>
    <row r="1" spans="1:17" ht="8.4499999999999993" customHeight="1"/>
    <row r="2" spans="1:17" ht="23.25" customHeight="1">
      <c r="A2" s="829" t="s">
        <v>299</v>
      </c>
      <c r="B2" s="829"/>
      <c r="C2" s="829"/>
      <c r="D2" s="829"/>
      <c r="E2" s="829"/>
      <c r="F2" s="829"/>
      <c r="G2" s="829"/>
      <c r="H2" s="829"/>
      <c r="I2" s="829"/>
      <c r="J2" s="829"/>
      <c r="K2" s="829"/>
      <c r="L2" s="829"/>
      <c r="M2" s="829"/>
      <c r="N2" s="829"/>
    </row>
    <row r="3" spans="1:17" ht="10.5" customHeight="1">
      <c r="A3" s="777"/>
      <c r="B3" s="777"/>
      <c r="C3" s="777"/>
      <c r="D3" s="777"/>
      <c r="E3" s="777"/>
      <c r="F3" s="777"/>
      <c r="G3" s="777"/>
      <c r="H3" s="777"/>
      <c r="I3" s="777"/>
      <c r="J3" s="777"/>
      <c r="K3" s="777"/>
      <c r="L3" s="777"/>
      <c r="M3" s="830" t="s">
        <v>210</v>
      </c>
      <c r="N3" s="830"/>
    </row>
    <row r="4" spans="1:17" ht="21.2" customHeight="1">
      <c r="A4" s="831" t="s">
        <v>510</v>
      </c>
      <c r="B4" s="832"/>
      <c r="C4" s="832"/>
      <c r="D4" s="832"/>
      <c r="E4" s="832"/>
      <c r="F4" s="832"/>
      <c r="G4" s="833"/>
      <c r="H4" s="838" t="s">
        <v>526</v>
      </c>
      <c r="I4" s="832"/>
      <c r="J4" s="832"/>
      <c r="K4" s="832"/>
      <c r="L4" s="832"/>
      <c r="M4" s="839"/>
      <c r="N4" s="840"/>
    </row>
    <row r="5" spans="1:17" ht="15" customHeight="1">
      <c r="A5" s="843" t="s">
        <v>300</v>
      </c>
      <c r="B5" s="837"/>
      <c r="C5" s="837"/>
      <c r="D5" s="834" t="s">
        <v>31</v>
      </c>
      <c r="E5" s="834" t="s">
        <v>29</v>
      </c>
      <c r="F5" s="834" t="s">
        <v>15</v>
      </c>
      <c r="G5" s="848" t="s">
        <v>518</v>
      </c>
      <c r="H5" s="836" t="s">
        <v>300</v>
      </c>
      <c r="I5" s="837"/>
      <c r="J5" s="837"/>
      <c r="K5" s="834" t="str">
        <f>D5</f>
        <v>2024년
본 예산(A)</v>
      </c>
      <c r="L5" s="834" t="str">
        <f>E5</f>
        <v>2024년 
1차 추경(B)</v>
      </c>
      <c r="M5" s="834" t="s">
        <v>15</v>
      </c>
      <c r="N5" s="841" t="s">
        <v>518</v>
      </c>
    </row>
    <row r="6" spans="1:17" ht="16.5" customHeight="1">
      <c r="A6" s="724" t="s">
        <v>127</v>
      </c>
      <c r="B6" s="469" t="s">
        <v>110</v>
      </c>
      <c r="C6" s="469" t="s">
        <v>145</v>
      </c>
      <c r="D6" s="835"/>
      <c r="E6" s="835"/>
      <c r="F6" s="835"/>
      <c r="G6" s="849"/>
      <c r="H6" s="468" t="s">
        <v>127</v>
      </c>
      <c r="I6" s="469" t="s">
        <v>110</v>
      </c>
      <c r="J6" s="470" t="s">
        <v>145</v>
      </c>
      <c r="K6" s="835"/>
      <c r="L6" s="835"/>
      <c r="M6" s="835"/>
      <c r="N6" s="842"/>
    </row>
    <row r="7" spans="1:17" ht="24" customHeight="1">
      <c r="A7" s="844" t="s">
        <v>27</v>
      </c>
      <c r="B7" s="845"/>
      <c r="C7" s="845"/>
      <c r="D7" s="821">
        <f>D8+D11+D14+D17+D22+D26+D29+D34</f>
        <v>148045000</v>
      </c>
      <c r="E7" s="778">
        <f>E8+E11+E14+E17+E22+E26+E29+E34</f>
        <v>133326000</v>
      </c>
      <c r="F7" s="778">
        <f>E7-D7</f>
        <v>-14719000</v>
      </c>
      <c r="G7" s="779">
        <f>F7/D7*100</f>
        <v>-9.9422472896754357</v>
      </c>
      <c r="H7" s="846" t="s">
        <v>27</v>
      </c>
      <c r="I7" s="847"/>
      <c r="J7" s="847"/>
      <c r="K7" s="780">
        <f>K8+K26+K31+K49+K52</f>
        <v>148045000</v>
      </c>
      <c r="L7" s="780">
        <f>L8+L26+L31+L49+L52</f>
        <v>133326000</v>
      </c>
      <c r="M7" s="824">
        <f>L7-K7</f>
        <v>-14719000</v>
      </c>
      <c r="N7" s="781">
        <f t="shared" ref="N7:N27" si="0">M7/K7*100</f>
        <v>-9.9422472896754357</v>
      </c>
      <c r="P7" s="782"/>
      <c r="Q7" s="783"/>
    </row>
    <row r="8" spans="1:17" ht="16.5" customHeight="1">
      <c r="A8" s="784" t="s">
        <v>432</v>
      </c>
      <c r="B8" s="785" t="s">
        <v>114</v>
      </c>
      <c r="C8" s="785"/>
      <c r="D8" s="504">
        <f>D9</f>
        <v>19200000</v>
      </c>
      <c r="E8" s="786">
        <f>E9</f>
        <v>19200000</v>
      </c>
      <c r="F8" s="786">
        <f>E8-D8</f>
        <v>0</v>
      </c>
      <c r="G8" s="787">
        <f t="shared" ref="G8:G38" si="1">F8/D8*100</f>
        <v>0</v>
      </c>
      <c r="H8" s="788" t="s">
        <v>163</v>
      </c>
      <c r="I8" s="483" t="s">
        <v>114</v>
      </c>
      <c r="J8" s="483"/>
      <c r="K8" s="484">
        <f>K9+K16+K19</f>
        <v>122066660</v>
      </c>
      <c r="L8" s="484">
        <f>L9+L16+L19</f>
        <v>102417060</v>
      </c>
      <c r="M8" s="484">
        <f>L8-K8</f>
        <v>-19649600</v>
      </c>
      <c r="N8" s="789">
        <f t="shared" si="0"/>
        <v>-16.097433975829272</v>
      </c>
      <c r="Q8" s="790"/>
    </row>
    <row r="9" spans="1:17" ht="16.5" customHeight="1">
      <c r="A9" s="487"/>
      <c r="B9" s="488" t="s">
        <v>416</v>
      </c>
      <c r="C9" s="488" t="s">
        <v>164</v>
      </c>
      <c r="D9" s="489">
        <f>D10</f>
        <v>19200000</v>
      </c>
      <c r="E9" s="489">
        <f>E10</f>
        <v>19200000</v>
      </c>
      <c r="F9" s="489">
        <f>E9-D9</f>
        <v>0</v>
      </c>
      <c r="G9" s="791">
        <f t="shared" si="1"/>
        <v>0</v>
      </c>
      <c r="H9" s="792"/>
      <c r="I9" s="493" t="s">
        <v>155</v>
      </c>
      <c r="J9" s="493" t="s">
        <v>164</v>
      </c>
      <c r="K9" s="494">
        <f>SUM(K10:K15)</f>
        <v>111706660</v>
      </c>
      <c r="L9" s="494">
        <f>SUM(L10:L15)</f>
        <v>92057060</v>
      </c>
      <c r="M9" s="494">
        <f>L9-K9</f>
        <v>-19649600</v>
      </c>
      <c r="N9" s="793">
        <f t="shared" si="0"/>
        <v>-17.590356743277439</v>
      </c>
      <c r="P9" s="794"/>
      <c r="Q9" s="790"/>
    </row>
    <row r="10" spans="1:17" ht="16.5" customHeight="1">
      <c r="A10" s="487"/>
      <c r="B10" s="497"/>
      <c r="C10" s="497" t="s">
        <v>416</v>
      </c>
      <c r="D10" s="498">
        <f>'다. 세입내역서'!D9</f>
        <v>19200000</v>
      </c>
      <c r="E10" s="498">
        <f>'다. 세입내역서'!E9</f>
        <v>19200000</v>
      </c>
      <c r="F10" s="498">
        <f>E10-D10</f>
        <v>0</v>
      </c>
      <c r="G10" s="795">
        <f t="shared" si="1"/>
        <v>0</v>
      </c>
      <c r="H10" s="792"/>
      <c r="I10" s="500"/>
      <c r="J10" s="500" t="s">
        <v>113</v>
      </c>
      <c r="K10" s="498">
        <f>'라. 세출내역서'!D9</f>
        <v>75315900</v>
      </c>
      <c r="L10" s="498">
        <f>'라. 세출내역서'!E9</f>
        <v>65999100</v>
      </c>
      <c r="M10" s="498">
        <f>L10-K10</f>
        <v>-9316800</v>
      </c>
      <c r="N10" s="796">
        <f t="shared" si="0"/>
        <v>-12.370296311934133</v>
      </c>
    </row>
    <row r="11" spans="1:17" ht="16.5" customHeight="1">
      <c r="A11" s="502" t="s">
        <v>413</v>
      </c>
      <c r="B11" s="503" t="s">
        <v>114</v>
      </c>
      <c r="C11" s="503"/>
      <c r="D11" s="504">
        <f>D12</f>
        <v>0</v>
      </c>
      <c r="E11" s="504">
        <f>E12</f>
        <v>0</v>
      </c>
      <c r="F11" s="504">
        <v>0</v>
      </c>
      <c r="G11" s="797">
        <v>0</v>
      </c>
      <c r="H11" s="792"/>
      <c r="I11" s="500"/>
      <c r="J11" s="500" t="s">
        <v>411</v>
      </c>
      <c r="K11" s="498">
        <f>'라. 세출내역서'!D14</f>
        <v>0</v>
      </c>
      <c r="L11" s="498">
        <f>'라. 세출내역서'!E14</f>
        <v>0</v>
      </c>
      <c r="M11" s="498">
        <f t="shared" ref="M11:M15" si="2">L11-K11</f>
        <v>0</v>
      </c>
      <c r="N11" s="796">
        <v>0</v>
      </c>
    </row>
    <row r="12" spans="1:17" ht="16.5" customHeight="1">
      <c r="A12" s="487"/>
      <c r="B12" s="488" t="s">
        <v>413</v>
      </c>
      <c r="C12" s="488" t="s">
        <v>164</v>
      </c>
      <c r="D12" s="489">
        <f>D13</f>
        <v>0</v>
      </c>
      <c r="E12" s="489">
        <f>E13</f>
        <v>0</v>
      </c>
      <c r="F12" s="489">
        <v>0</v>
      </c>
      <c r="G12" s="791">
        <v>0</v>
      </c>
      <c r="H12" s="792"/>
      <c r="I12" s="500"/>
      <c r="J12" s="500" t="s">
        <v>130</v>
      </c>
      <c r="K12" s="498">
        <f>'라. 세출내역서'!D16</f>
        <v>18806420</v>
      </c>
      <c r="L12" s="498">
        <f>'라. 세출내역서'!E16</f>
        <v>15509220</v>
      </c>
      <c r="M12" s="498">
        <f t="shared" si="2"/>
        <v>-3297200</v>
      </c>
      <c r="N12" s="796">
        <f t="shared" si="0"/>
        <v>-17.532310774724802</v>
      </c>
    </row>
    <row r="13" spans="1:17" ht="16.5" customHeight="1">
      <c r="A13" s="487"/>
      <c r="B13" s="497"/>
      <c r="C13" s="497" t="s">
        <v>208</v>
      </c>
      <c r="D13" s="498">
        <f>'다. 세입내역서'!D12</f>
        <v>0</v>
      </c>
      <c r="E13" s="498">
        <f>'다. 세입내역서'!E12</f>
        <v>0</v>
      </c>
      <c r="F13" s="498">
        <v>0</v>
      </c>
      <c r="G13" s="795">
        <v>0</v>
      </c>
      <c r="H13" s="792"/>
      <c r="I13" s="500"/>
      <c r="J13" s="500" t="s">
        <v>204</v>
      </c>
      <c r="K13" s="498">
        <f>'라. 세출내역서'!D27</f>
        <v>7843530</v>
      </c>
      <c r="L13" s="498">
        <f>'라. 세출내역서'!E27</f>
        <v>6792360</v>
      </c>
      <c r="M13" s="498">
        <f t="shared" si="2"/>
        <v>-1051170</v>
      </c>
      <c r="N13" s="796">
        <f t="shared" si="0"/>
        <v>-13.401746407548643</v>
      </c>
    </row>
    <row r="14" spans="1:17" ht="16.5" customHeight="1">
      <c r="A14" s="502" t="s">
        <v>425</v>
      </c>
      <c r="B14" s="503" t="s">
        <v>114</v>
      </c>
      <c r="C14" s="503"/>
      <c r="D14" s="504">
        <f>D15</f>
        <v>0</v>
      </c>
      <c r="E14" s="504">
        <f>E15</f>
        <v>0</v>
      </c>
      <c r="F14" s="504">
        <v>0</v>
      </c>
      <c r="G14" s="797">
        <v>0</v>
      </c>
      <c r="H14" s="792"/>
      <c r="I14" s="500"/>
      <c r="J14" s="500" t="s">
        <v>199</v>
      </c>
      <c r="K14" s="498">
        <f>'라. 세출내역서'!D29</f>
        <v>9740810</v>
      </c>
      <c r="L14" s="498">
        <f>'라. 세출내역서'!E29</f>
        <v>3756380</v>
      </c>
      <c r="M14" s="498">
        <f t="shared" si="2"/>
        <v>-5984430</v>
      </c>
      <c r="N14" s="796">
        <f t="shared" si="0"/>
        <v>-61.436677237313944</v>
      </c>
      <c r="P14" s="783"/>
    </row>
    <row r="15" spans="1:17" ht="16.5" customHeight="1">
      <c r="A15" s="487"/>
      <c r="B15" s="488" t="s">
        <v>425</v>
      </c>
      <c r="C15" s="488" t="s">
        <v>164</v>
      </c>
      <c r="D15" s="489">
        <f>D16</f>
        <v>0</v>
      </c>
      <c r="E15" s="489">
        <f>E16</f>
        <v>0</v>
      </c>
      <c r="F15" s="489">
        <v>0</v>
      </c>
      <c r="G15" s="791">
        <v>0</v>
      </c>
      <c r="H15" s="792"/>
      <c r="I15" s="500"/>
      <c r="J15" s="500" t="s">
        <v>446</v>
      </c>
      <c r="K15" s="498">
        <f>'라. 세출내역서'!D35</f>
        <v>0</v>
      </c>
      <c r="L15" s="498">
        <f>'라. 세출내역서'!E35</f>
        <v>0</v>
      </c>
      <c r="M15" s="498">
        <f t="shared" si="2"/>
        <v>0</v>
      </c>
      <c r="N15" s="796" t="e">
        <f t="shared" si="0"/>
        <v>#DIV/0!</v>
      </c>
    </row>
    <row r="16" spans="1:17" ht="16.5" customHeight="1">
      <c r="A16" s="487"/>
      <c r="B16" s="497"/>
      <c r="C16" s="497" t="s">
        <v>425</v>
      </c>
      <c r="D16" s="498">
        <f>'다. 세입내역서'!D15</f>
        <v>0</v>
      </c>
      <c r="E16" s="498">
        <f>'다. 세입내역서'!E15</f>
        <v>0</v>
      </c>
      <c r="F16" s="498">
        <v>0</v>
      </c>
      <c r="G16" s="795">
        <v>0</v>
      </c>
      <c r="H16" s="792"/>
      <c r="I16" s="493" t="s">
        <v>433</v>
      </c>
      <c r="J16" s="493" t="s">
        <v>164</v>
      </c>
      <c r="K16" s="489">
        <f>SUM(K17:K18)</f>
        <v>140000</v>
      </c>
      <c r="L16" s="489">
        <f>SUM(L17:L18)</f>
        <v>140000</v>
      </c>
      <c r="M16" s="489">
        <f>L16-K16</f>
        <v>0</v>
      </c>
      <c r="N16" s="793">
        <f t="shared" si="0"/>
        <v>0</v>
      </c>
    </row>
    <row r="17" spans="1:18" ht="16.5" customHeight="1">
      <c r="A17" s="502" t="s">
        <v>423</v>
      </c>
      <c r="B17" s="503" t="s">
        <v>114</v>
      </c>
      <c r="C17" s="503"/>
      <c r="D17" s="817">
        <f>D18</f>
        <v>123748660</v>
      </c>
      <c r="E17" s="504">
        <f>E18</f>
        <v>100425000</v>
      </c>
      <c r="F17" s="504">
        <f t="shared" ref="F17:F31" si="3">E17-D17</f>
        <v>-23323660</v>
      </c>
      <c r="G17" s="797">
        <f t="shared" si="1"/>
        <v>-18.84760610741159</v>
      </c>
      <c r="H17" s="792"/>
      <c r="I17" s="500"/>
      <c r="J17" s="500" t="s">
        <v>461</v>
      </c>
      <c r="K17" s="498">
        <f>'라. 세출내역서'!D40</f>
        <v>0</v>
      </c>
      <c r="L17" s="498">
        <f>'라. 세출내역서'!E40</f>
        <v>0</v>
      </c>
      <c r="M17" s="498">
        <f t="shared" ref="M17:M18" si="4">L17-K17</f>
        <v>0</v>
      </c>
      <c r="N17" s="796">
        <v>0</v>
      </c>
    </row>
    <row r="18" spans="1:18" ht="16.5" customHeight="1">
      <c r="A18" s="487"/>
      <c r="B18" s="488" t="s">
        <v>423</v>
      </c>
      <c r="C18" s="488" t="s">
        <v>164</v>
      </c>
      <c r="D18" s="818">
        <f>SUM(D19:D21)</f>
        <v>123748660</v>
      </c>
      <c r="E18" s="489">
        <f>SUM(E19:E21)</f>
        <v>100425000</v>
      </c>
      <c r="F18" s="489">
        <f t="shared" si="3"/>
        <v>-23323660</v>
      </c>
      <c r="G18" s="791">
        <f t="shared" si="1"/>
        <v>-18.84760610741159</v>
      </c>
      <c r="H18" s="792"/>
      <c r="I18" s="500"/>
      <c r="J18" s="500" t="s">
        <v>172</v>
      </c>
      <c r="K18" s="498">
        <f>'라. 세출내역서'!D45</f>
        <v>140000</v>
      </c>
      <c r="L18" s="498">
        <f>'라. 세출내역서'!E45</f>
        <v>140000</v>
      </c>
      <c r="M18" s="498">
        <f t="shared" si="4"/>
        <v>0</v>
      </c>
      <c r="N18" s="796">
        <f t="shared" si="0"/>
        <v>0</v>
      </c>
      <c r="Q18" s="790"/>
    </row>
    <row r="19" spans="1:18" ht="16.5" customHeight="1">
      <c r="A19" s="487"/>
      <c r="B19" s="497"/>
      <c r="C19" s="497" t="s">
        <v>383</v>
      </c>
      <c r="D19" s="498">
        <f>'다. 세입내역서'!D18</f>
        <v>123748660</v>
      </c>
      <c r="E19" s="498">
        <f>'다. 세입내역서'!E18</f>
        <v>100425000</v>
      </c>
      <c r="F19" s="498">
        <f t="shared" si="3"/>
        <v>-23323660</v>
      </c>
      <c r="G19" s="795">
        <f t="shared" si="1"/>
        <v>-18.84760610741159</v>
      </c>
      <c r="H19" s="792"/>
      <c r="I19" s="493" t="s">
        <v>162</v>
      </c>
      <c r="J19" s="493" t="s">
        <v>164</v>
      </c>
      <c r="K19" s="489">
        <f>SUM(K20:K25)</f>
        <v>10220000</v>
      </c>
      <c r="L19" s="489">
        <f>SUM(L20:L25)</f>
        <v>10220000</v>
      </c>
      <c r="M19" s="489">
        <f>L19-K19</f>
        <v>0</v>
      </c>
      <c r="N19" s="793">
        <f t="shared" si="0"/>
        <v>0</v>
      </c>
    </row>
    <row r="20" spans="1:18" ht="16.5" customHeight="1">
      <c r="A20" s="487"/>
      <c r="B20" s="497"/>
      <c r="C20" s="497" t="s">
        <v>374</v>
      </c>
      <c r="D20" s="498">
        <f>'다. 세입내역서'!D19</f>
        <v>0</v>
      </c>
      <c r="E20" s="498">
        <f>'다. 세입내역서'!E19</f>
        <v>0</v>
      </c>
      <c r="F20" s="498">
        <f t="shared" si="3"/>
        <v>0</v>
      </c>
      <c r="G20" s="795">
        <v>0</v>
      </c>
      <c r="H20" s="792"/>
      <c r="I20" s="500"/>
      <c r="J20" s="500" t="s">
        <v>147</v>
      </c>
      <c r="K20" s="498">
        <f>'라. 세출내역서'!D49</f>
        <v>0</v>
      </c>
      <c r="L20" s="498">
        <f>'라. 세출내역서'!E49</f>
        <v>0</v>
      </c>
      <c r="M20" s="498">
        <f t="shared" ref="M20:M25" si="5">L20-K20</f>
        <v>0</v>
      </c>
      <c r="N20" s="796">
        <v>0</v>
      </c>
    </row>
    <row r="21" spans="1:18" ht="16.5" customHeight="1">
      <c r="A21" s="487"/>
      <c r="B21" s="497"/>
      <c r="C21" s="497" t="s">
        <v>490</v>
      </c>
      <c r="D21" s="498">
        <f>'다. 세입내역서'!D20</f>
        <v>0</v>
      </c>
      <c r="E21" s="498">
        <f>'다. 세입내역서'!E20</f>
        <v>0</v>
      </c>
      <c r="F21" s="498">
        <f t="shared" si="3"/>
        <v>0</v>
      </c>
      <c r="G21" s="795">
        <v>0</v>
      </c>
      <c r="H21" s="792"/>
      <c r="I21" s="500"/>
      <c r="J21" s="500" t="s">
        <v>458</v>
      </c>
      <c r="K21" s="498">
        <f>'라. 세출내역서'!D51</f>
        <v>3900000</v>
      </c>
      <c r="L21" s="498">
        <f>'라. 세출내역서'!E51</f>
        <v>3900000</v>
      </c>
      <c r="M21" s="498">
        <f t="shared" si="5"/>
        <v>0</v>
      </c>
      <c r="N21" s="796">
        <f t="shared" si="0"/>
        <v>0</v>
      </c>
    </row>
    <row r="22" spans="1:18" ht="16.5" customHeight="1">
      <c r="A22" s="502" t="s">
        <v>161</v>
      </c>
      <c r="B22" s="503" t="s">
        <v>114</v>
      </c>
      <c r="C22" s="503"/>
      <c r="D22" s="504">
        <f>D23</f>
        <v>0</v>
      </c>
      <c r="E22" s="504">
        <f>E23</f>
        <v>0</v>
      </c>
      <c r="F22" s="504">
        <f t="shared" si="3"/>
        <v>0</v>
      </c>
      <c r="G22" s="797">
        <f>G23</f>
        <v>0</v>
      </c>
      <c r="H22" s="792"/>
      <c r="I22" s="500"/>
      <c r="J22" s="500" t="s">
        <v>445</v>
      </c>
      <c r="K22" s="498">
        <f>'라. 세출내역서'!D58</f>
        <v>5400000</v>
      </c>
      <c r="L22" s="498">
        <f>'라. 세출내역서'!E58</f>
        <v>5400000</v>
      </c>
      <c r="M22" s="498">
        <f t="shared" si="5"/>
        <v>0</v>
      </c>
      <c r="N22" s="796">
        <f t="shared" si="0"/>
        <v>0</v>
      </c>
      <c r="P22" s="794"/>
      <c r="Q22" s="790"/>
      <c r="R22" s="790"/>
    </row>
    <row r="23" spans="1:18" ht="16.5" customHeight="1">
      <c r="A23" s="487"/>
      <c r="B23" s="488" t="s">
        <v>439</v>
      </c>
      <c r="C23" s="488" t="s">
        <v>164</v>
      </c>
      <c r="D23" s="489">
        <f>SUM(D24:D25)</f>
        <v>0</v>
      </c>
      <c r="E23" s="489">
        <f>SUM(E24:E25)</f>
        <v>0</v>
      </c>
      <c r="F23" s="489">
        <f t="shared" si="3"/>
        <v>0</v>
      </c>
      <c r="G23" s="791">
        <v>0</v>
      </c>
      <c r="H23" s="792"/>
      <c r="I23" s="500"/>
      <c r="J23" s="500" t="s">
        <v>429</v>
      </c>
      <c r="K23" s="498">
        <f>'라. 세출내역서'!D60</f>
        <v>0</v>
      </c>
      <c r="L23" s="498">
        <f>'라. 세출내역서'!E60</f>
        <v>0</v>
      </c>
      <c r="M23" s="498">
        <f t="shared" si="5"/>
        <v>0</v>
      </c>
      <c r="N23" s="796">
        <v>0</v>
      </c>
      <c r="P23" s="794"/>
      <c r="Q23" s="790"/>
      <c r="R23" s="790"/>
    </row>
    <row r="24" spans="1:18" ht="16.5" customHeight="1">
      <c r="A24" s="513"/>
      <c r="B24" s="514"/>
      <c r="C24" s="497" t="s">
        <v>431</v>
      </c>
      <c r="D24" s="520">
        <f>'다. 세입내역서'!D23</f>
        <v>0</v>
      </c>
      <c r="E24" s="498">
        <f>'다. 세입내역서'!E23</f>
        <v>0</v>
      </c>
      <c r="F24" s="498">
        <f t="shared" si="3"/>
        <v>0</v>
      </c>
      <c r="G24" s="795">
        <v>0</v>
      </c>
      <c r="H24" s="792"/>
      <c r="I24" s="500"/>
      <c r="J24" s="500" t="s">
        <v>128</v>
      </c>
      <c r="K24" s="498">
        <f>'라. 세출내역서'!D67</f>
        <v>920000</v>
      </c>
      <c r="L24" s="498">
        <f>'라. 세출내역서'!E67</f>
        <v>920000</v>
      </c>
      <c r="M24" s="498">
        <f t="shared" si="5"/>
        <v>0</v>
      </c>
      <c r="N24" s="796">
        <f t="shared" si="0"/>
        <v>0</v>
      </c>
      <c r="P24" s="794"/>
      <c r="Q24" s="790"/>
      <c r="R24" s="790"/>
    </row>
    <row r="25" spans="1:18" ht="16.5" customHeight="1">
      <c r="A25" s="487"/>
      <c r="B25" s="497"/>
      <c r="C25" s="497" t="s">
        <v>414</v>
      </c>
      <c r="D25" s="498">
        <f>'다. 세입내역서'!D24</f>
        <v>0</v>
      </c>
      <c r="E25" s="498">
        <f>'다. 세입내역서'!E24</f>
        <v>0</v>
      </c>
      <c r="F25" s="498">
        <f t="shared" si="3"/>
        <v>0</v>
      </c>
      <c r="G25" s="795">
        <v>0</v>
      </c>
      <c r="H25" s="792"/>
      <c r="I25" s="500"/>
      <c r="J25" s="500" t="s">
        <v>493</v>
      </c>
      <c r="K25" s="498">
        <f>'라. 세출내역서'!D70</f>
        <v>0</v>
      </c>
      <c r="L25" s="498">
        <f>'라. 세출내역서'!E70</f>
        <v>0</v>
      </c>
      <c r="M25" s="498">
        <f t="shared" si="5"/>
        <v>0</v>
      </c>
      <c r="N25" s="796">
        <v>0</v>
      </c>
      <c r="P25" s="794"/>
      <c r="Q25" s="790"/>
      <c r="R25" s="790"/>
    </row>
    <row r="26" spans="1:18" ht="16.5" customHeight="1">
      <c r="A26" s="502" t="s">
        <v>144</v>
      </c>
      <c r="B26" s="503" t="s">
        <v>114</v>
      </c>
      <c r="C26" s="503"/>
      <c r="D26" s="504">
        <f>D27</f>
        <v>0</v>
      </c>
      <c r="E26" s="504">
        <f>E27</f>
        <v>0</v>
      </c>
      <c r="F26" s="504">
        <f t="shared" si="3"/>
        <v>0</v>
      </c>
      <c r="G26" s="797">
        <f>G27</f>
        <v>0</v>
      </c>
      <c r="H26" s="798" t="s">
        <v>449</v>
      </c>
      <c r="I26" s="516" t="s">
        <v>114</v>
      </c>
      <c r="J26" s="516"/>
      <c r="K26" s="504">
        <f>K27</f>
        <v>2250000</v>
      </c>
      <c r="L26" s="504">
        <f>L27</f>
        <v>2250000</v>
      </c>
      <c r="M26" s="504">
        <f>L26-K26</f>
        <v>0</v>
      </c>
      <c r="N26" s="799">
        <f t="shared" si="0"/>
        <v>0</v>
      </c>
      <c r="P26" s="794"/>
      <c r="Q26" s="790"/>
      <c r="R26" s="790"/>
    </row>
    <row r="27" spans="1:18" ht="16.5" customHeight="1">
      <c r="A27" s="487"/>
      <c r="B27" s="488" t="s">
        <v>144</v>
      </c>
      <c r="C27" s="488" t="s">
        <v>164</v>
      </c>
      <c r="D27" s="489">
        <f>D28</f>
        <v>0</v>
      </c>
      <c r="E27" s="489">
        <f>E28</f>
        <v>0</v>
      </c>
      <c r="F27" s="489">
        <f t="shared" si="3"/>
        <v>0</v>
      </c>
      <c r="G27" s="791">
        <f>G28</f>
        <v>0</v>
      </c>
      <c r="H27" s="792"/>
      <c r="I27" s="493" t="s">
        <v>139</v>
      </c>
      <c r="J27" s="493" t="s">
        <v>164</v>
      </c>
      <c r="K27" s="489">
        <f>SUM(K28:K30)</f>
        <v>2250000</v>
      </c>
      <c r="L27" s="489">
        <f>SUM(L28:L30)</f>
        <v>2250000</v>
      </c>
      <c r="M27" s="489">
        <f>L27-K27</f>
        <v>0</v>
      </c>
      <c r="N27" s="793">
        <f t="shared" si="0"/>
        <v>0</v>
      </c>
      <c r="P27" s="794"/>
      <c r="Q27" s="790"/>
      <c r="R27" s="790"/>
    </row>
    <row r="28" spans="1:18" ht="16.5" customHeight="1">
      <c r="A28" s="487"/>
      <c r="B28" s="497"/>
      <c r="C28" s="497" t="s">
        <v>428</v>
      </c>
      <c r="D28" s="498">
        <f>'다. 세입내역서'!D27</f>
        <v>0</v>
      </c>
      <c r="E28" s="498">
        <f>'다. 세입내역서'!E27</f>
        <v>0</v>
      </c>
      <c r="F28" s="498">
        <f t="shared" si="3"/>
        <v>0</v>
      </c>
      <c r="G28" s="795">
        <v>0</v>
      </c>
      <c r="H28" s="792"/>
      <c r="I28" s="500"/>
      <c r="J28" s="500" t="s">
        <v>139</v>
      </c>
      <c r="K28" s="498">
        <f>'라. 세출내역서'!D76</f>
        <v>0</v>
      </c>
      <c r="L28" s="498">
        <f>'라. 세출내역서'!E76</f>
        <v>0</v>
      </c>
      <c r="M28" s="498">
        <f t="shared" ref="M28:M30" si="6">L28-K28</f>
        <v>0</v>
      </c>
      <c r="N28" s="796">
        <v>0</v>
      </c>
      <c r="P28" s="794"/>
      <c r="Q28" s="790"/>
    </row>
    <row r="29" spans="1:18" ht="16.5" customHeight="1">
      <c r="A29" s="502" t="s">
        <v>119</v>
      </c>
      <c r="B29" s="503" t="s">
        <v>114</v>
      </c>
      <c r="C29" s="503"/>
      <c r="D29" s="817">
        <f>D30</f>
        <v>5000000</v>
      </c>
      <c r="E29" s="504">
        <f>E30</f>
        <v>13603816</v>
      </c>
      <c r="F29" s="504">
        <f t="shared" si="3"/>
        <v>8603816</v>
      </c>
      <c r="G29" s="797">
        <f t="shared" si="1"/>
        <v>172.07631999999998</v>
      </c>
      <c r="H29" s="792"/>
      <c r="I29" s="500"/>
      <c r="J29" s="500" t="s">
        <v>473</v>
      </c>
      <c r="K29" s="498">
        <f>'라. 세출내역서'!D77</f>
        <v>0</v>
      </c>
      <c r="L29" s="498">
        <f>'라. 세출내역서'!E77</f>
        <v>0</v>
      </c>
      <c r="M29" s="498">
        <f t="shared" si="6"/>
        <v>0</v>
      </c>
      <c r="N29" s="796">
        <v>0</v>
      </c>
      <c r="P29" s="794"/>
      <c r="Q29" s="790"/>
    </row>
    <row r="30" spans="1:18" ht="16.5" customHeight="1">
      <c r="A30" s="487"/>
      <c r="B30" s="488" t="s">
        <v>119</v>
      </c>
      <c r="C30" s="488" t="s">
        <v>164</v>
      </c>
      <c r="D30" s="818">
        <f>SUM(D31:D33)</f>
        <v>5000000</v>
      </c>
      <c r="E30" s="489">
        <f>SUM(E31:E33)</f>
        <v>13603816</v>
      </c>
      <c r="F30" s="489">
        <f t="shared" si="3"/>
        <v>8603816</v>
      </c>
      <c r="G30" s="791">
        <f t="shared" si="1"/>
        <v>172.07631999999998</v>
      </c>
      <c r="H30" s="792"/>
      <c r="I30" s="500"/>
      <c r="J30" s="500" t="s">
        <v>442</v>
      </c>
      <c r="K30" s="498">
        <f>'라. 세출내역서'!D84</f>
        <v>2250000</v>
      </c>
      <c r="L30" s="498">
        <f>'라. 세출내역서'!E84</f>
        <v>2250000</v>
      </c>
      <c r="M30" s="498">
        <f t="shared" si="6"/>
        <v>0</v>
      </c>
      <c r="N30" s="796">
        <f t="shared" ref="N30:N46" si="7">M30/K30*100</f>
        <v>0</v>
      </c>
      <c r="P30" s="794"/>
      <c r="Q30" s="790"/>
    </row>
    <row r="31" spans="1:18" ht="16.5" customHeight="1">
      <c r="A31" s="487"/>
      <c r="B31" s="497"/>
      <c r="C31" s="497" t="s">
        <v>247</v>
      </c>
      <c r="D31" s="498">
        <f>'다. 세입내역서'!D30</f>
        <v>4000000</v>
      </c>
      <c r="E31" s="498">
        <f>'다. 세입내역서'!E30</f>
        <v>7763286</v>
      </c>
      <c r="F31" s="498">
        <f t="shared" si="3"/>
        <v>3763286</v>
      </c>
      <c r="G31" s="795">
        <f t="shared" si="1"/>
        <v>94.082149999999999</v>
      </c>
      <c r="H31" s="798" t="s">
        <v>178</v>
      </c>
      <c r="I31" s="516" t="s">
        <v>114</v>
      </c>
      <c r="J31" s="516"/>
      <c r="K31" s="504">
        <f>K32+K38</f>
        <v>22632000</v>
      </c>
      <c r="L31" s="504">
        <f>L32+L38</f>
        <v>22744000</v>
      </c>
      <c r="M31" s="504">
        <f>L31-K31</f>
        <v>112000</v>
      </c>
      <c r="N31" s="799">
        <f t="shared" si="7"/>
        <v>0.49487451396253096</v>
      </c>
      <c r="P31" s="794"/>
      <c r="Q31" s="790"/>
    </row>
    <row r="32" spans="1:18" ht="16.5" customHeight="1">
      <c r="A32" s="487"/>
      <c r="B32" s="497"/>
      <c r="C32" s="497" t="s">
        <v>252</v>
      </c>
      <c r="D32" s="498">
        <f>'다. 세입내역서'!D31</f>
        <v>0</v>
      </c>
      <c r="E32" s="498">
        <f>'다. 세입내역서'!E31</f>
        <v>0</v>
      </c>
      <c r="F32" s="498">
        <f t="shared" ref="F32:F33" si="8">E32-D32</f>
        <v>0</v>
      </c>
      <c r="G32" s="795">
        <v>0</v>
      </c>
      <c r="H32" s="792"/>
      <c r="I32" s="493" t="s">
        <v>162</v>
      </c>
      <c r="J32" s="493" t="s">
        <v>164</v>
      </c>
      <c r="K32" s="494">
        <f>SUM(K33:K37)</f>
        <v>17528000</v>
      </c>
      <c r="L32" s="494">
        <f>SUM(L33:L37)</f>
        <v>14740000</v>
      </c>
      <c r="M32" s="489">
        <f>L32-K32</f>
        <v>-2788000</v>
      </c>
      <c r="N32" s="793">
        <f t="shared" si="7"/>
        <v>-15.905979005020537</v>
      </c>
      <c r="P32" s="794"/>
      <c r="Q32" s="790"/>
    </row>
    <row r="33" spans="1:17" ht="16.5" customHeight="1">
      <c r="A33" s="487"/>
      <c r="B33" s="497"/>
      <c r="C33" s="497" t="s">
        <v>249</v>
      </c>
      <c r="D33" s="520">
        <f>'다. 세입내역서'!D32</f>
        <v>1000000</v>
      </c>
      <c r="E33" s="498">
        <f>'다. 세입내역서'!E32</f>
        <v>5840530</v>
      </c>
      <c r="F33" s="498">
        <f t="shared" si="8"/>
        <v>4840530</v>
      </c>
      <c r="G33" s="795">
        <f t="shared" si="1"/>
        <v>484.053</v>
      </c>
      <c r="H33" s="792"/>
      <c r="I33" s="500"/>
      <c r="J33" s="500" t="s">
        <v>149</v>
      </c>
      <c r="K33" s="498">
        <f>'라. 세출내역서'!D95</f>
        <v>8648000</v>
      </c>
      <c r="L33" s="498">
        <f>'라. 세출내역서'!E95</f>
        <v>6760000</v>
      </c>
      <c r="M33" s="498">
        <f t="shared" ref="M33:M37" si="9">L33-K33</f>
        <v>-1888000</v>
      </c>
      <c r="N33" s="796">
        <f t="shared" si="7"/>
        <v>-21.831637372802959</v>
      </c>
      <c r="P33" s="794"/>
      <c r="Q33" s="790"/>
    </row>
    <row r="34" spans="1:17" ht="16.5" customHeight="1">
      <c r="A34" s="502" t="s">
        <v>176</v>
      </c>
      <c r="B34" s="503" t="s">
        <v>114</v>
      </c>
      <c r="C34" s="503"/>
      <c r="D34" s="817">
        <f>D35</f>
        <v>96340</v>
      </c>
      <c r="E34" s="521">
        <f>E35</f>
        <v>97184</v>
      </c>
      <c r="F34" s="521">
        <f>E34-D34</f>
        <v>844</v>
      </c>
      <c r="G34" s="801">
        <f t="shared" si="1"/>
        <v>0.87606394021175016</v>
      </c>
      <c r="H34" s="792"/>
      <c r="I34" s="500"/>
      <c r="J34" s="500" t="s">
        <v>463</v>
      </c>
      <c r="K34" s="498">
        <f>'라. 세출내역서'!D101</f>
        <v>1380000</v>
      </c>
      <c r="L34" s="498">
        <f>'라. 세출내역서'!E101</f>
        <v>1380000</v>
      </c>
      <c r="M34" s="498">
        <f t="shared" si="9"/>
        <v>0</v>
      </c>
      <c r="N34" s="796">
        <f t="shared" si="7"/>
        <v>0</v>
      </c>
      <c r="P34" s="794"/>
      <c r="Q34" s="790"/>
    </row>
    <row r="35" spans="1:17" ht="16.5" customHeight="1">
      <c r="A35" s="487"/>
      <c r="B35" s="488" t="s">
        <v>176</v>
      </c>
      <c r="C35" s="488" t="s">
        <v>164</v>
      </c>
      <c r="D35" s="818">
        <f>SUM(D36:D38)</f>
        <v>96340</v>
      </c>
      <c r="E35" s="523">
        <f>SUM(E36:E38)</f>
        <v>97184</v>
      </c>
      <c r="F35" s="523">
        <f>E35-D35</f>
        <v>844</v>
      </c>
      <c r="G35" s="802">
        <f t="shared" si="1"/>
        <v>0.87606394021175016</v>
      </c>
      <c r="H35" s="792"/>
      <c r="I35" s="525"/>
      <c r="J35" s="525" t="s">
        <v>138</v>
      </c>
      <c r="K35" s="498">
        <f>'라. 세출내역서'!D105</f>
        <v>0</v>
      </c>
      <c r="L35" s="498">
        <f>'라. 세출내역서'!E105</f>
        <v>0</v>
      </c>
      <c r="M35" s="498">
        <f t="shared" si="9"/>
        <v>0</v>
      </c>
      <c r="N35" s="796">
        <v>0</v>
      </c>
      <c r="P35" s="794"/>
      <c r="Q35" s="790"/>
    </row>
    <row r="36" spans="1:17" ht="15" customHeight="1">
      <c r="A36" s="487"/>
      <c r="B36" s="497"/>
      <c r="C36" s="497" t="s">
        <v>444</v>
      </c>
      <c r="D36" s="520">
        <f>'다. 세입내역서'!D35</f>
        <v>60000</v>
      </c>
      <c r="E36" s="498">
        <f>'다. 세입내역서'!E35</f>
        <v>60000</v>
      </c>
      <c r="F36" s="520">
        <f>E36-D36</f>
        <v>0</v>
      </c>
      <c r="G36" s="795">
        <f t="shared" si="1"/>
        <v>0</v>
      </c>
      <c r="H36" s="492"/>
      <c r="I36" s="500"/>
      <c r="J36" s="500" t="s">
        <v>125</v>
      </c>
      <c r="K36" s="498">
        <f>'라. 세출내역서'!D107</f>
        <v>600000</v>
      </c>
      <c r="L36" s="498">
        <f>'라. 세출내역서'!E107</f>
        <v>600000</v>
      </c>
      <c r="M36" s="498">
        <f t="shared" si="9"/>
        <v>0</v>
      </c>
      <c r="N36" s="796">
        <f t="shared" si="7"/>
        <v>0</v>
      </c>
    </row>
    <row r="37" spans="1:17" ht="15" customHeight="1">
      <c r="A37" s="487"/>
      <c r="B37" s="497"/>
      <c r="C37" s="497" t="s">
        <v>209</v>
      </c>
      <c r="D37" s="520">
        <f>'다. 세입내역서'!D36</f>
        <v>26340</v>
      </c>
      <c r="E37" s="498">
        <f>'다. 세입내역서'!E36</f>
        <v>27184</v>
      </c>
      <c r="F37" s="520">
        <f>E37-D37</f>
        <v>844</v>
      </c>
      <c r="G37" s="800">
        <f t="shared" si="1"/>
        <v>3.2042520880789676</v>
      </c>
      <c r="H37" s="803"/>
      <c r="I37" s="497"/>
      <c r="J37" s="497" t="s">
        <v>148</v>
      </c>
      <c r="K37" s="498">
        <f>'라. 세출내역서'!D110</f>
        <v>6900000</v>
      </c>
      <c r="L37" s="498">
        <f>'라. 세출내역서'!E110</f>
        <v>6000000</v>
      </c>
      <c r="M37" s="498">
        <f t="shared" si="9"/>
        <v>-900000</v>
      </c>
      <c r="N37" s="796">
        <f t="shared" si="7"/>
        <v>-13.043478260869565</v>
      </c>
    </row>
    <row r="38" spans="1:17" ht="15" customHeight="1">
      <c r="A38" s="487"/>
      <c r="B38" s="497"/>
      <c r="C38" s="497" t="s">
        <v>435</v>
      </c>
      <c r="D38" s="820">
        <f>'다. 세입내역서'!D37</f>
        <v>10000</v>
      </c>
      <c r="E38" s="498">
        <f>'다. 세입내역서'!E37</f>
        <v>10000</v>
      </c>
      <c r="F38" s="520">
        <f>E38-D38</f>
        <v>0</v>
      </c>
      <c r="G38" s="800">
        <f t="shared" si="1"/>
        <v>0</v>
      </c>
      <c r="H38" s="803"/>
      <c r="I38" s="488" t="s">
        <v>178</v>
      </c>
      <c r="J38" s="488" t="s">
        <v>164</v>
      </c>
      <c r="K38" s="489">
        <f>SUM(K39:K48)</f>
        <v>5104000</v>
      </c>
      <c r="L38" s="489">
        <f>SUM(L39:L48)</f>
        <v>8004000</v>
      </c>
      <c r="M38" s="489">
        <f>L38-K38</f>
        <v>2900000</v>
      </c>
      <c r="N38" s="793">
        <f t="shared" si="7"/>
        <v>56.81818181818182</v>
      </c>
    </row>
    <row r="39" spans="1:17" ht="13.7" customHeight="1">
      <c r="A39" s="804"/>
      <c r="B39" s="805"/>
      <c r="C39" s="805"/>
      <c r="D39" s="806"/>
      <c r="E39" s="806"/>
      <c r="F39" s="806"/>
      <c r="G39" s="807"/>
      <c r="H39" s="803"/>
      <c r="I39" s="497"/>
      <c r="J39" s="497" t="s">
        <v>380</v>
      </c>
      <c r="K39" s="498">
        <f>'라. 세출내역서'!D114</f>
        <v>50000</v>
      </c>
      <c r="L39" s="498">
        <f>'라. 세출내역서'!E114</f>
        <v>50000</v>
      </c>
      <c r="M39" s="498">
        <f>L39-K39</f>
        <v>0</v>
      </c>
      <c r="N39" s="796">
        <v>0</v>
      </c>
    </row>
    <row r="40" spans="1:17" ht="13.7" customHeight="1">
      <c r="A40" s="804"/>
      <c r="B40" s="805"/>
      <c r="C40" s="805"/>
      <c r="D40" s="806"/>
      <c r="E40" s="806"/>
      <c r="F40" s="806"/>
      <c r="G40" s="807"/>
      <c r="H40" s="803"/>
      <c r="I40" s="497"/>
      <c r="J40" s="497" t="s">
        <v>426</v>
      </c>
      <c r="K40" s="498">
        <f>'라. 세출내역서'!D116</f>
        <v>0</v>
      </c>
      <c r="L40" s="498">
        <f>'라. 세출내역서'!E116</f>
        <v>0</v>
      </c>
      <c r="M40" s="498">
        <f t="shared" ref="M40:M43" si="10">L40-K40</f>
        <v>0</v>
      </c>
      <c r="N40" s="796">
        <v>0</v>
      </c>
    </row>
    <row r="41" spans="1:17" ht="13.7" customHeight="1">
      <c r="A41" s="804"/>
      <c r="B41" s="805"/>
      <c r="C41" s="805"/>
      <c r="D41" s="806"/>
      <c r="E41" s="806"/>
      <c r="F41" s="806"/>
      <c r="G41" s="807"/>
      <c r="H41" s="803"/>
      <c r="I41" s="497"/>
      <c r="J41" s="497" t="s">
        <v>387</v>
      </c>
      <c r="K41" s="498">
        <f>'라. 세출내역서'!D118</f>
        <v>2892000</v>
      </c>
      <c r="L41" s="498">
        <f>'라. 세출내역서'!E118</f>
        <v>2792000</v>
      </c>
      <c r="M41" s="498">
        <f t="shared" si="10"/>
        <v>-100000</v>
      </c>
      <c r="N41" s="796">
        <f t="shared" si="7"/>
        <v>-3.4578146611341634</v>
      </c>
    </row>
    <row r="42" spans="1:17" ht="13.7" customHeight="1">
      <c r="A42" s="804"/>
      <c r="B42" s="805"/>
      <c r="C42" s="805"/>
      <c r="D42" s="806"/>
      <c r="E42" s="806"/>
      <c r="F42" s="806"/>
      <c r="G42" s="807"/>
      <c r="H42" s="803"/>
      <c r="I42" s="497"/>
      <c r="J42" s="497" t="s">
        <v>260</v>
      </c>
      <c r="K42" s="498">
        <f>'라. 세출내역서'!D129</f>
        <v>480000</v>
      </c>
      <c r="L42" s="498">
        <f>'라. 세출내역서'!E129</f>
        <v>480000</v>
      </c>
      <c r="M42" s="498">
        <f t="shared" si="10"/>
        <v>0</v>
      </c>
      <c r="N42" s="796">
        <v>0</v>
      </c>
    </row>
    <row r="43" spans="1:17" ht="13.7" customHeight="1">
      <c r="A43" s="804"/>
      <c r="B43" s="805"/>
      <c r="C43" s="805"/>
      <c r="D43" s="806"/>
      <c r="E43" s="806"/>
      <c r="F43" s="806"/>
      <c r="G43" s="807"/>
      <c r="H43" s="803"/>
      <c r="I43" s="497"/>
      <c r="J43" s="497" t="s">
        <v>408</v>
      </c>
      <c r="K43" s="498">
        <f>'라. 세출내역서'!D132</f>
        <v>40000</v>
      </c>
      <c r="L43" s="498">
        <f>'라. 세출내역서'!E132</f>
        <v>40000</v>
      </c>
      <c r="M43" s="498">
        <f t="shared" si="10"/>
        <v>0</v>
      </c>
      <c r="N43" s="796">
        <v>0</v>
      </c>
    </row>
    <row r="44" spans="1:17" ht="16.5" customHeight="1">
      <c r="A44" s="804"/>
      <c r="B44" s="805"/>
      <c r="C44" s="805"/>
      <c r="D44" s="806"/>
      <c r="E44" s="806"/>
      <c r="F44" s="806"/>
      <c r="G44" s="807"/>
      <c r="H44" s="803"/>
      <c r="I44" s="497"/>
      <c r="J44" s="497" t="s">
        <v>376</v>
      </c>
      <c r="K44" s="498">
        <f>'라. 세출내역서'!D134</f>
        <v>0</v>
      </c>
      <c r="L44" s="498">
        <f>'라. 세출내역서'!E134</f>
        <v>0</v>
      </c>
      <c r="M44" s="498">
        <f>L44-K44</f>
        <v>0</v>
      </c>
      <c r="N44" s="796" t="e">
        <f t="shared" si="7"/>
        <v>#DIV/0!</v>
      </c>
    </row>
    <row r="45" spans="1:17" ht="16.5" customHeight="1">
      <c r="A45" s="804"/>
      <c r="B45" s="805"/>
      <c r="C45" s="805"/>
      <c r="D45" s="806"/>
      <c r="E45" s="806"/>
      <c r="F45" s="806"/>
      <c r="G45" s="807"/>
      <c r="H45" s="803"/>
      <c r="I45" s="497"/>
      <c r="J45" s="497" t="s">
        <v>248</v>
      </c>
      <c r="K45" s="498">
        <f>'라. 세출내역서'!D136</f>
        <v>0</v>
      </c>
      <c r="L45" s="498">
        <f>'라. 세출내역서'!E136</f>
        <v>0</v>
      </c>
      <c r="M45" s="498">
        <f t="shared" ref="M45:M46" si="11">L45-K45</f>
        <v>0</v>
      </c>
      <c r="N45" s="796" t="e">
        <f t="shared" si="7"/>
        <v>#DIV/0!</v>
      </c>
    </row>
    <row r="46" spans="1:17" ht="16.5" customHeight="1">
      <c r="A46" s="804"/>
      <c r="B46" s="805"/>
      <c r="C46" s="805"/>
      <c r="D46" s="806"/>
      <c r="E46" s="806"/>
      <c r="F46" s="806"/>
      <c r="G46" s="807"/>
      <c r="H46" s="803"/>
      <c r="I46" s="497"/>
      <c r="J46" s="497" t="s">
        <v>258</v>
      </c>
      <c r="K46" s="498">
        <f>'라. 세출내역서'!D138</f>
        <v>1642000</v>
      </c>
      <c r="L46" s="498">
        <f>'라. 세출내역서'!E138</f>
        <v>1642000</v>
      </c>
      <c r="M46" s="498">
        <f t="shared" si="11"/>
        <v>0</v>
      </c>
      <c r="N46" s="796">
        <f t="shared" si="7"/>
        <v>0</v>
      </c>
    </row>
    <row r="47" spans="1:17" ht="13.7" customHeight="1">
      <c r="A47" s="804"/>
      <c r="B47" s="805"/>
      <c r="C47" s="805"/>
      <c r="D47" s="806"/>
      <c r="E47" s="806"/>
      <c r="F47" s="806"/>
      <c r="G47" s="807"/>
      <c r="H47" s="803"/>
      <c r="I47" s="497"/>
      <c r="J47" s="497" t="s">
        <v>276</v>
      </c>
      <c r="K47" s="498">
        <f>'라. 세출내역서'!D144</f>
        <v>0</v>
      </c>
      <c r="L47" s="498">
        <f>'라. 세출내역서'!E144</f>
        <v>3000000</v>
      </c>
      <c r="M47" s="498">
        <f t="shared" ref="M47:M48" si="12">L47-K47</f>
        <v>3000000</v>
      </c>
      <c r="N47" s="796">
        <v>0</v>
      </c>
    </row>
    <row r="48" spans="1:17" ht="13.7" customHeight="1">
      <c r="A48" s="804"/>
      <c r="B48" s="805"/>
      <c r="C48" s="805"/>
      <c r="D48" s="806"/>
      <c r="E48" s="806"/>
      <c r="F48" s="806"/>
      <c r="G48" s="807"/>
      <c r="H48" s="803"/>
      <c r="I48" s="497"/>
      <c r="J48" s="497" t="s">
        <v>494</v>
      </c>
      <c r="K48" s="498">
        <f>'라. 세출내역서'!D146</f>
        <v>0</v>
      </c>
      <c r="L48" s="498">
        <f>'라. 세출내역서'!E146</f>
        <v>0</v>
      </c>
      <c r="M48" s="498">
        <f t="shared" si="12"/>
        <v>0</v>
      </c>
      <c r="N48" s="796">
        <v>0</v>
      </c>
    </row>
    <row r="49" spans="1:14" ht="16.5" customHeight="1">
      <c r="A49" s="804"/>
      <c r="B49" s="805"/>
      <c r="C49" s="805"/>
      <c r="D49" s="806"/>
      <c r="E49" s="806"/>
      <c r="F49" s="806"/>
      <c r="G49" s="807"/>
      <c r="H49" s="808" t="s">
        <v>109</v>
      </c>
      <c r="I49" s="503" t="s">
        <v>114</v>
      </c>
      <c r="J49" s="503"/>
      <c r="K49" s="504">
        <f>K50</f>
        <v>96340</v>
      </c>
      <c r="L49" s="504">
        <f>L50</f>
        <v>74410</v>
      </c>
      <c r="M49" s="504">
        <f t="shared" ref="M49:M55" si="13">L49-K49</f>
        <v>-21930</v>
      </c>
      <c r="N49" s="799">
        <f t="shared" ref="N49:N55" si="14">M49/K49*100</f>
        <v>-22.76313057919867</v>
      </c>
    </row>
    <row r="50" spans="1:14" ht="14.25" customHeight="1">
      <c r="A50" s="804"/>
      <c r="B50" s="805"/>
      <c r="C50" s="805"/>
      <c r="D50" s="806"/>
      <c r="E50" s="806"/>
      <c r="F50" s="806"/>
      <c r="G50" s="807"/>
      <c r="H50" s="803"/>
      <c r="I50" s="488" t="s">
        <v>109</v>
      </c>
      <c r="J50" s="488" t="s">
        <v>164</v>
      </c>
      <c r="K50" s="489">
        <f>K51</f>
        <v>96340</v>
      </c>
      <c r="L50" s="489">
        <f>L51</f>
        <v>74410</v>
      </c>
      <c r="M50" s="489">
        <f t="shared" si="13"/>
        <v>-21930</v>
      </c>
      <c r="N50" s="793">
        <f t="shared" si="14"/>
        <v>-22.76313057919867</v>
      </c>
    </row>
    <row r="51" spans="1:14" ht="15.75" customHeight="1">
      <c r="A51" s="804"/>
      <c r="B51" s="805"/>
      <c r="C51" s="805"/>
      <c r="D51" s="806"/>
      <c r="E51" s="806"/>
      <c r="F51" s="806"/>
      <c r="G51" s="807"/>
      <c r="H51" s="803"/>
      <c r="I51" s="497"/>
      <c r="J51" s="497" t="s">
        <v>109</v>
      </c>
      <c r="K51" s="498">
        <f>'라. 세출내역서'!D150</f>
        <v>96340</v>
      </c>
      <c r="L51" s="498">
        <f>'라. 세출내역서'!E150</f>
        <v>74410</v>
      </c>
      <c r="M51" s="498">
        <f t="shared" si="13"/>
        <v>-21930</v>
      </c>
      <c r="N51" s="796">
        <f t="shared" si="14"/>
        <v>-22.76313057919867</v>
      </c>
    </row>
    <row r="52" spans="1:14" ht="15.75" customHeight="1">
      <c r="A52" s="804"/>
      <c r="B52" s="805"/>
      <c r="C52" s="805"/>
      <c r="D52" s="806"/>
      <c r="E52" s="806"/>
      <c r="F52" s="806"/>
      <c r="G52" s="807"/>
      <c r="H52" s="808" t="s">
        <v>462</v>
      </c>
      <c r="I52" s="503" t="s">
        <v>114</v>
      </c>
      <c r="J52" s="503"/>
      <c r="K52" s="504">
        <f>K53</f>
        <v>1000000</v>
      </c>
      <c r="L52" s="504">
        <f>L53</f>
        <v>5840530</v>
      </c>
      <c r="M52" s="504">
        <f t="shared" si="13"/>
        <v>4840530</v>
      </c>
      <c r="N52" s="799">
        <f t="shared" si="14"/>
        <v>484.053</v>
      </c>
    </row>
    <row r="53" spans="1:14" ht="15.75" customHeight="1">
      <c r="A53" s="804"/>
      <c r="B53" s="805"/>
      <c r="C53" s="805"/>
      <c r="D53" s="806"/>
      <c r="E53" s="806"/>
      <c r="F53" s="806"/>
      <c r="G53" s="807"/>
      <c r="H53" s="543"/>
      <c r="I53" s="488" t="s">
        <v>462</v>
      </c>
      <c r="J53" s="488" t="s">
        <v>164</v>
      </c>
      <c r="K53" s="489">
        <f>SUM(K54:K55)</f>
        <v>1000000</v>
      </c>
      <c r="L53" s="489">
        <f>SUM(L54:L55)</f>
        <v>5840530</v>
      </c>
      <c r="M53" s="489">
        <f t="shared" si="13"/>
        <v>4840530</v>
      </c>
      <c r="N53" s="793">
        <f t="shared" si="14"/>
        <v>484.053</v>
      </c>
    </row>
    <row r="54" spans="1:14" ht="15.75" customHeight="1">
      <c r="A54" s="804"/>
      <c r="B54" s="805"/>
      <c r="C54" s="805"/>
      <c r="D54" s="806"/>
      <c r="E54" s="806"/>
      <c r="F54" s="806"/>
      <c r="G54" s="807"/>
      <c r="H54" s="809"/>
      <c r="I54" s="497"/>
      <c r="J54" s="497" t="s">
        <v>154</v>
      </c>
      <c r="K54" s="498">
        <f>'라. 세출내역서'!D153</f>
        <v>0</v>
      </c>
      <c r="L54" s="498">
        <f>'라. 세출내역서'!E153</f>
        <v>0</v>
      </c>
      <c r="M54" s="498">
        <f t="shared" si="13"/>
        <v>0</v>
      </c>
      <c r="N54" s="796">
        <v>0</v>
      </c>
    </row>
    <row r="55" spans="1:14" ht="12.95" customHeight="1">
      <c r="A55" s="810"/>
      <c r="B55" s="811"/>
      <c r="C55" s="811"/>
      <c r="D55" s="819"/>
      <c r="E55" s="812"/>
      <c r="F55" s="812"/>
      <c r="G55" s="813"/>
      <c r="H55" s="814"/>
      <c r="I55" s="550"/>
      <c r="J55" s="550" t="s">
        <v>323</v>
      </c>
      <c r="K55" s="815">
        <f>'라. 세출내역서'!D154</f>
        <v>1000000</v>
      </c>
      <c r="L55" s="815">
        <f>'라. 세출내역서'!E154</f>
        <v>5840530</v>
      </c>
      <c r="M55" s="815">
        <f t="shared" si="13"/>
        <v>4840530</v>
      </c>
      <c r="N55" s="816">
        <f t="shared" si="14"/>
        <v>484.053</v>
      </c>
    </row>
  </sheetData>
  <mergeCells count="16">
    <mergeCell ref="A7:C7"/>
    <mergeCell ref="H7:J7"/>
    <mergeCell ref="D5:D6"/>
    <mergeCell ref="K5:K6"/>
    <mergeCell ref="G5:G6"/>
    <mergeCell ref="F5:F6"/>
    <mergeCell ref="A2:N2"/>
    <mergeCell ref="M3:N3"/>
    <mergeCell ref="A4:G4"/>
    <mergeCell ref="L5:L6"/>
    <mergeCell ref="H5:J5"/>
    <mergeCell ref="H4:N4"/>
    <mergeCell ref="N5:N6"/>
    <mergeCell ref="M5:M6"/>
    <mergeCell ref="A5:C5"/>
    <mergeCell ref="E5:E6"/>
  </mergeCells>
  <phoneticPr fontId="65" type="noConversion"/>
  <printOptions horizontalCentered="1"/>
  <pageMargins left="0.47236111760139465" right="0.35430556535720825" top="0.8658333420753479" bottom="0.31486111879348755" header="0.62986111640930176" footer="0.35430556535720825"/>
  <pageSetup paperSize="9" scale="85" fitToHeight="0" orientation="landscape" r:id="rId1"/>
  <drawing r:id="rId2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4"/>
  <dimension ref="A1:O37"/>
  <sheetViews>
    <sheetView view="pageBreakPreview" zoomScaleNormal="100" zoomScaleSheetLayoutView="100" workbookViewId="0">
      <selection activeCell="H9" sqref="H9:J9"/>
    </sheetView>
  </sheetViews>
  <sheetFormatPr defaultColWidth="9" defaultRowHeight="12.95" customHeight="1"/>
  <cols>
    <col min="1" max="2" width="10.375" style="6" customWidth="1"/>
    <col min="3" max="3" width="17.5" style="6" customWidth="1"/>
    <col min="4" max="4" width="13.75" style="7" customWidth="1"/>
    <col min="5" max="5" width="13.75" style="3" customWidth="1"/>
    <col min="6" max="6" width="12.125" style="3" customWidth="1"/>
    <col min="7" max="7" width="10.125" style="3" customWidth="1"/>
    <col min="8" max="8" width="15.125" style="4" customWidth="1"/>
    <col min="9" max="9" width="36.375" style="5" customWidth="1"/>
    <col min="10" max="10" width="25" style="5" customWidth="1"/>
    <col min="11" max="11" width="13" style="5" customWidth="1"/>
    <col min="12" max="13" width="14.125" style="1" bestFit="1" customWidth="1"/>
    <col min="14" max="15" width="11.875" style="1" customWidth="1"/>
    <col min="16" max="16384" width="9" style="1"/>
  </cols>
  <sheetData>
    <row r="1" spans="1:14" ht="12" customHeight="1"/>
    <row r="2" spans="1:14" ht="27.75" customHeight="1">
      <c r="A2" s="893" t="s">
        <v>32</v>
      </c>
      <c r="B2" s="893"/>
      <c r="C2" s="893"/>
      <c r="D2" s="893"/>
      <c r="E2" s="893"/>
      <c r="F2" s="893"/>
      <c r="G2" s="893"/>
      <c r="H2" s="893"/>
      <c r="I2" s="893"/>
      <c r="J2" s="893"/>
      <c r="K2" s="11"/>
    </row>
    <row r="3" spans="1:14" ht="22.7" customHeight="1">
      <c r="A3" s="50"/>
      <c r="B3" s="50"/>
      <c r="C3" s="50"/>
      <c r="D3" s="50"/>
      <c r="E3" s="50"/>
      <c r="F3" s="50"/>
      <c r="G3" s="50"/>
      <c r="H3" s="50"/>
      <c r="I3" s="50"/>
      <c r="J3" s="53" t="s">
        <v>210</v>
      </c>
      <c r="K3" s="2"/>
    </row>
    <row r="4" spans="1:14" s="3" customFormat="1" ht="22.7" customHeight="1">
      <c r="A4" s="894" t="s">
        <v>300</v>
      </c>
      <c r="B4" s="894"/>
      <c r="C4" s="895"/>
      <c r="D4" s="834" t="str">
        <f>'나. 세입세출(총괄)'!D5</f>
        <v>2024년
본 예산(A)</v>
      </c>
      <c r="E4" s="834" t="str">
        <f>'나. 세입세출(총괄)'!E5</f>
        <v>2024년 
1차 추경(B)</v>
      </c>
      <c r="F4" s="834" t="s">
        <v>15</v>
      </c>
      <c r="G4" s="896" t="s">
        <v>518</v>
      </c>
      <c r="H4" s="898" t="s">
        <v>234</v>
      </c>
      <c r="I4" s="899"/>
      <c r="J4" s="900"/>
      <c r="K4" s="6"/>
      <c r="N4" s="1"/>
    </row>
    <row r="5" spans="1:14" s="3" customFormat="1" ht="22.7" customHeight="1">
      <c r="A5" s="730" t="s">
        <v>127</v>
      </c>
      <c r="B5" s="730" t="s">
        <v>110</v>
      </c>
      <c r="C5" s="731" t="s">
        <v>145</v>
      </c>
      <c r="D5" s="835"/>
      <c r="E5" s="835"/>
      <c r="F5" s="835"/>
      <c r="G5" s="897"/>
      <c r="H5" s="901"/>
      <c r="I5" s="902"/>
      <c r="J5" s="903"/>
      <c r="K5" s="6"/>
      <c r="N5" s="1"/>
    </row>
    <row r="6" spans="1:14" s="3" customFormat="1" ht="22.7" customHeight="1">
      <c r="A6" s="878" t="s">
        <v>27</v>
      </c>
      <c r="B6" s="879"/>
      <c r="C6" s="880"/>
      <c r="D6" s="732">
        <f>D7+D10+D13+D16+D21+D25+D28+D33</f>
        <v>148045000</v>
      </c>
      <c r="E6" s="733">
        <f>E7+E13+E16+E25+E28+E33+E10+E21</f>
        <v>133326000</v>
      </c>
      <c r="F6" s="733">
        <f>F7+F13+F16+F25+F28+F33+F10+F21</f>
        <v>-14719000</v>
      </c>
      <c r="G6" s="734">
        <f>F6/D6*100</f>
        <v>-9.9422472896754357</v>
      </c>
      <c r="H6" s="881"/>
      <c r="I6" s="882"/>
      <c r="J6" s="883"/>
      <c r="K6" s="14"/>
      <c r="N6" s="1"/>
    </row>
    <row r="7" spans="1:14" s="3" customFormat="1" ht="17.25" customHeight="1">
      <c r="A7" s="747" t="s">
        <v>432</v>
      </c>
      <c r="B7" s="748" t="s">
        <v>114</v>
      </c>
      <c r="C7" s="748"/>
      <c r="D7" s="690">
        <f>D8</f>
        <v>19200000</v>
      </c>
      <c r="E7" s="690">
        <f>E8</f>
        <v>19200000</v>
      </c>
      <c r="F7" s="690">
        <f>E7-D7</f>
        <v>0</v>
      </c>
      <c r="G7" s="735">
        <f>F7/D7*100</f>
        <v>0</v>
      </c>
      <c r="H7" s="884"/>
      <c r="I7" s="885"/>
      <c r="J7" s="886"/>
      <c r="K7" s="12"/>
      <c r="N7" s="1"/>
    </row>
    <row r="8" spans="1:14" s="3" customFormat="1" ht="17.25" customHeight="1">
      <c r="A8" s="749"/>
      <c r="B8" s="711" t="s">
        <v>416</v>
      </c>
      <c r="C8" s="711" t="s">
        <v>164</v>
      </c>
      <c r="D8" s="660">
        <f>D9</f>
        <v>19200000</v>
      </c>
      <c r="E8" s="660">
        <f>E9</f>
        <v>19200000</v>
      </c>
      <c r="F8" s="660">
        <f>E8-D8</f>
        <v>0</v>
      </c>
      <c r="G8" s="736">
        <f>F8/D8*100</f>
        <v>0</v>
      </c>
      <c r="H8" s="887"/>
      <c r="I8" s="888"/>
      <c r="J8" s="889"/>
      <c r="K8" s="12"/>
      <c r="N8" s="1"/>
    </row>
    <row r="9" spans="1:14" ht="44.25" customHeight="1">
      <c r="A9" s="749"/>
      <c r="B9" s="704"/>
      <c r="C9" s="704" t="s">
        <v>416</v>
      </c>
      <c r="D9" s="666">
        <v>19200000</v>
      </c>
      <c r="E9" s="666">
        <v>19200000</v>
      </c>
      <c r="F9" s="666">
        <f>E9-D9</f>
        <v>0</v>
      </c>
      <c r="G9" s="737">
        <f>F9/D9*100</f>
        <v>0</v>
      </c>
      <c r="H9" s="890" t="s">
        <v>11</v>
      </c>
      <c r="I9" s="891"/>
      <c r="J9" s="892"/>
      <c r="K9" s="13"/>
    </row>
    <row r="10" spans="1:14" s="3" customFormat="1" ht="17.25" hidden="1" customHeight="1">
      <c r="A10" s="750" t="s">
        <v>413</v>
      </c>
      <c r="B10" s="719" t="s">
        <v>114</v>
      </c>
      <c r="C10" s="719"/>
      <c r="D10" s="690">
        <v>0</v>
      </c>
      <c r="E10" s="690">
        <f>E11</f>
        <v>0</v>
      </c>
      <c r="F10" s="690">
        <f>E10-D10</f>
        <v>0</v>
      </c>
      <c r="G10" s="738">
        <v>0</v>
      </c>
      <c r="H10" s="875"/>
      <c r="I10" s="876"/>
      <c r="J10" s="877"/>
      <c r="K10" s="13"/>
      <c r="N10" s="1"/>
    </row>
    <row r="11" spans="1:14" s="3" customFormat="1" ht="17.25" hidden="1" customHeight="1">
      <c r="A11" s="749"/>
      <c r="B11" s="711" t="s">
        <v>413</v>
      </c>
      <c r="C11" s="711" t="s">
        <v>164</v>
      </c>
      <c r="D11" s="660">
        <v>0</v>
      </c>
      <c r="E11" s="660">
        <f>E12</f>
        <v>0</v>
      </c>
      <c r="F11" s="660">
        <f>E11-D11</f>
        <v>0</v>
      </c>
      <c r="G11" s="736">
        <v>0</v>
      </c>
      <c r="H11" s="869"/>
      <c r="I11" s="870"/>
      <c r="J11" s="871"/>
      <c r="K11" s="13"/>
      <c r="N11" s="458"/>
    </row>
    <row r="12" spans="1:14" s="3" customFormat="1" ht="17.25" hidden="1" customHeight="1">
      <c r="A12" s="749"/>
      <c r="B12" s="704"/>
      <c r="C12" s="704" t="s">
        <v>208</v>
      </c>
      <c r="D12" s="666">
        <v>0</v>
      </c>
      <c r="E12" s="666">
        <v>0</v>
      </c>
      <c r="F12" s="666">
        <v>0</v>
      </c>
      <c r="G12" s="737">
        <v>0</v>
      </c>
      <c r="H12" s="868"/>
      <c r="I12" s="854"/>
      <c r="J12" s="855"/>
      <c r="K12" s="13"/>
      <c r="N12" s="1"/>
    </row>
    <row r="13" spans="1:14" ht="17.25" hidden="1" customHeight="1">
      <c r="A13" s="750" t="s">
        <v>425</v>
      </c>
      <c r="B13" s="719" t="s">
        <v>114</v>
      </c>
      <c r="C13" s="719"/>
      <c r="D13" s="690">
        <v>0</v>
      </c>
      <c r="E13" s="690">
        <f>E14</f>
        <v>0</v>
      </c>
      <c r="F13" s="690">
        <f>E13-D13</f>
        <v>0</v>
      </c>
      <c r="G13" s="738">
        <v>0</v>
      </c>
      <c r="H13" s="875"/>
      <c r="I13" s="876"/>
      <c r="J13" s="877"/>
      <c r="K13" s="13"/>
    </row>
    <row r="14" spans="1:14" ht="17.25" hidden="1" customHeight="1">
      <c r="A14" s="749"/>
      <c r="B14" s="711" t="s">
        <v>425</v>
      </c>
      <c r="C14" s="711" t="s">
        <v>164</v>
      </c>
      <c r="D14" s="660">
        <v>0</v>
      </c>
      <c r="E14" s="660">
        <f>E15</f>
        <v>0</v>
      </c>
      <c r="F14" s="660">
        <f>E14-D14</f>
        <v>0</v>
      </c>
      <c r="G14" s="736">
        <v>0</v>
      </c>
      <c r="H14" s="869"/>
      <c r="I14" s="870"/>
      <c r="J14" s="871"/>
      <c r="K14" s="13"/>
    </row>
    <row r="15" spans="1:14" s="27" customFormat="1" ht="17.25" hidden="1" customHeight="1">
      <c r="A15" s="749"/>
      <c r="B15" s="704"/>
      <c r="C15" s="704" t="s">
        <v>425</v>
      </c>
      <c r="D15" s="666">
        <v>0</v>
      </c>
      <c r="E15" s="666">
        <v>0</v>
      </c>
      <c r="F15" s="666">
        <v>0</v>
      </c>
      <c r="G15" s="737">
        <v>0</v>
      </c>
      <c r="H15" s="868"/>
      <c r="I15" s="854"/>
      <c r="J15" s="855"/>
      <c r="K15" s="26"/>
      <c r="N15" s="21"/>
    </row>
    <row r="16" spans="1:14" ht="17.25" customHeight="1">
      <c r="A16" s="750" t="s">
        <v>423</v>
      </c>
      <c r="B16" s="719" t="s">
        <v>114</v>
      </c>
      <c r="C16" s="719"/>
      <c r="D16" s="739">
        <f>D17</f>
        <v>123748660</v>
      </c>
      <c r="E16" s="739">
        <f>E17</f>
        <v>100425000</v>
      </c>
      <c r="F16" s="690">
        <f t="shared" ref="F16:F22" si="0">E16-D16</f>
        <v>-23323660</v>
      </c>
      <c r="G16" s="738">
        <f>F16/D16*100</f>
        <v>-18.84760610741159</v>
      </c>
      <c r="H16" s="875"/>
      <c r="I16" s="876"/>
      <c r="J16" s="877"/>
    </row>
    <row r="17" spans="1:15" ht="17.25" customHeight="1">
      <c r="A17" s="749"/>
      <c r="B17" s="711" t="s">
        <v>423</v>
      </c>
      <c r="C17" s="711" t="s">
        <v>164</v>
      </c>
      <c r="D17" s="740">
        <f>SUM(D18:D20)</f>
        <v>123748660</v>
      </c>
      <c r="E17" s="740">
        <f>SUM(E18:E20)</f>
        <v>100425000</v>
      </c>
      <c r="F17" s="660">
        <f t="shared" si="0"/>
        <v>-23323660</v>
      </c>
      <c r="G17" s="736">
        <f>F17/D17*100</f>
        <v>-18.84760610741159</v>
      </c>
      <c r="H17" s="869"/>
      <c r="I17" s="870"/>
      <c r="J17" s="871"/>
    </row>
    <row r="18" spans="1:15" ht="17.25" customHeight="1">
      <c r="A18" s="702"/>
      <c r="B18" s="703"/>
      <c r="C18" s="704" t="s">
        <v>383</v>
      </c>
      <c r="D18" s="666">
        <v>123748660</v>
      </c>
      <c r="E18" s="666">
        <v>100425000</v>
      </c>
      <c r="F18" s="666">
        <f t="shared" si="0"/>
        <v>-23323660</v>
      </c>
      <c r="G18" s="743">
        <f>F18/D18*100</f>
        <v>-18.84760610741159</v>
      </c>
      <c r="H18" s="872" t="s">
        <v>9</v>
      </c>
      <c r="I18" s="873"/>
      <c r="J18" s="874"/>
    </row>
    <row r="19" spans="1:15" s="21" customFormat="1" ht="17.25" customHeight="1">
      <c r="A19" s="702"/>
      <c r="B19" s="703"/>
      <c r="C19" s="704" t="s">
        <v>374</v>
      </c>
      <c r="D19" s="666">
        <v>0</v>
      </c>
      <c r="E19" s="666">
        <v>0</v>
      </c>
      <c r="F19" s="666">
        <f t="shared" si="0"/>
        <v>0</v>
      </c>
      <c r="G19" s="743">
        <v>0</v>
      </c>
      <c r="H19" s="872"/>
      <c r="I19" s="873"/>
      <c r="J19" s="874"/>
      <c r="K19" s="28"/>
      <c r="L19" s="28"/>
      <c r="M19" s="28"/>
      <c r="N19" s="28"/>
      <c r="O19" s="28"/>
    </row>
    <row r="20" spans="1:15" s="21" customFormat="1" ht="17.25" customHeight="1">
      <c r="A20" s="702"/>
      <c r="B20" s="703"/>
      <c r="C20" s="703" t="s">
        <v>490</v>
      </c>
      <c r="D20" s="666">
        <v>0</v>
      </c>
      <c r="E20" s="666">
        <v>0</v>
      </c>
      <c r="F20" s="666">
        <f t="shared" si="0"/>
        <v>0</v>
      </c>
      <c r="G20" s="743">
        <v>0</v>
      </c>
      <c r="H20" s="872"/>
      <c r="I20" s="873"/>
      <c r="J20" s="874"/>
      <c r="K20" s="28"/>
      <c r="L20" s="28"/>
      <c r="M20" s="28"/>
      <c r="N20" s="28"/>
      <c r="O20" s="28"/>
    </row>
    <row r="21" spans="1:15" ht="17.25" hidden="1" customHeight="1">
      <c r="A21" s="750" t="s">
        <v>161</v>
      </c>
      <c r="B21" s="719" t="s">
        <v>114</v>
      </c>
      <c r="C21" s="718"/>
      <c r="D21" s="690">
        <v>0</v>
      </c>
      <c r="E21" s="690">
        <f>E22</f>
        <v>0</v>
      </c>
      <c r="F21" s="690">
        <f t="shared" si="0"/>
        <v>0</v>
      </c>
      <c r="G21" s="738">
        <f>G22</f>
        <v>0</v>
      </c>
      <c r="H21" s="875"/>
      <c r="I21" s="876"/>
      <c r="J21" s="877"/>
    </row>
    <row r="22" spans="1:15" ht="17.25" hidden="1" customHeight="1">
      <c r="A22" s="749"/>
      <c r="B22" s="711" t="s">
        <v>439</v>
      </c>
      <c r="C22" s="711" t="s">
        <v>164</v>
      </c>
      <c r="D22" s="660">
        <v>0</v>
      </c>
      <c r="E22" s="660">
        <f>SUM(E23:E24)</f>
        <v>0</v>
      </c>
      <c r="F22" s="660">
        <f t="shared" si="0"/>
        <v>0</v>
      </c>
      <c r="G22" s="736">
        <v>0</v>
      </c>
      <c r="H22" s="869"/>
      <c r="I22" s="870"/>
      <c r="J22" s="871"/>
      <c r="M22" s="458"/>
    </row>
    <row r="23" spans="1:15" ht="17.25" hidden="1" customHeight="1">
      <c r="A23" s="751"/>
      <c r="B23" s="752"/>
      <c r="C23" s="703" t="s">
        <v>431</v>
      </c>
      <c r="D23" s="741">
        <v>0</v>
      </c>
      <c r="E23" s="666">
        <v>0</v>
      </c>
      <c r="F23" s="666">
        <f t="shared" ref="F23:F32" si="1">E23-D23</f>
        <v>0</v>
      </c>
      <c r="G23" s="743">
        <v>0</v>
      </c>
      <c r="H23" s="868"/>
      <c r="I23" s="854"/>
      <c r="J23" s="855"/>
      <c r="M23" s="458"/>
    </row>
    <row r="24" spans="1:15" ht="17.25" hidden="1" customHeight="1">
      <c r="A24" s="749"/>
      <c r="B24" s="704"/>
      <c r="C24" s="704" t="s">
        <v>414</v>
      </c>
      <c r="D24" s="666">
        <v>0</v>
      </c>
      <c r="E24" s="666">
        <v>0</v>
      </c>
      <c r="F24" s="666">
        <f t="shared" si="1"/>
        <v>0</v>
      </c>
      <c r="G24" s="737">
        <v>0</v>
      </c>
      <c r="H24" s="868"/>
      <c r="I24" s="854"/>
      <c r="J24" s="855"/>
      <c r="L24" s="458"/>
      <c r="M24" s="458"/>
    </row>
    <row r="25" spans="1:15" ht="17.25" hidden="1" customHeight="1">
      <c r="A25" s="750" t="s">
        <v>144</v>
      </c>
      <c r="B25" s="719" t="s">
        <v>114</v>
      </c>
      <c r="C25" s="719"/>
      <c r="D25" s="690">
        <v>0</v>
      </c>
      <c r="E25" s="690">
        <f>E26</f>
        <v>0</v>
      </c>
      <c r="F25" s="690">
        <f t="shared" si="1"/>
        <v>0</v>
      </c>
      <c r="G25" s="738">
        <f>G26</f>
        <v>0</v>
      </c>
      <c r="H25" s="875"/>
      <c r="I25" s="876"/>
      <c r="J25" s="877"/>
      <c r="L25" s="10"/>
      <c r="M25" s="10"/>
    </row>
    <row r="26" spans="1:15" ht="17.25" hidden="1" customHeight="1">
      <c r="A26" s="749"/>
      <c r="B26" s="711" t="s">
        <v>144</v>
      </c>
      <c r="C26" s="711" t="s">
        <v>164</v>
      </c>
      <c r="D26" s="660">
        <v>0</v>
      </c>
      <c r="E26" s="660">
        <f>E27</f>
        <v>0</v>
      </c>
      <c r="F26" s="660">
        <f t="shared" si="1"/>
        <v>0</v>
      </c>
      <c r="G26" s="736">
        <f>G27</f>
        <v>0</v>
      </c>
      <c r="H26" s="869"/>
      <c r="I26" s="870"/>
      <c r="J26" s="871"/>
    </row>
    <row r="27" spans="1:15" ht="17.25" hidden="1" customHeight="1">
      <c r="A27" s="749"/>
      <c r="B27" s="704"/>
      <c r="C27" s="704" t="s">
        <v>428</v>
      </c>
      <c r="D27" s="666">
        <v>0</v>
      </c>
      <c r="E27" s="666">
        <v>0</v>
      </c>
      <c r="F27" s="666">
        <f t="shared" si="1"/>
        <v>0</v>
      </c>
      <c r="G27" s="737">
        <v>0</v>
      </c>
      <c r="H27" s="868"/>
      <c r="I27" s="854"/>
      <c r="J27" s="855"/>
    </row>
    <row r="28" spans="1:15" ht="17.25" customHeight="1">
      <c r="A28" s="750" t="s">
        <v>119</v>
      </c>
      <c r="B28" s="719" t="s">
        <v>114</v>
      </c>
      <c r="C28" s="719"/>
      <c r="D28" s="739">
        <f>D29</f>
        <v>5000000</v>
      </c>
      <c r="E28" s="739">
        <f>E29</f>
        <v>13603816</v>
      </c>
      <c r="F28" s="742">
        <f t="shared" si="1"/>
        <v>8603816</v>
      </c>
      <c r="G28" s="738">
        <f>F28/D28*100</f>
        <v>172.07631999999998</v>
      </c>
      <c r="H28" s="769"/>
      <c r="I28" s="770"/>
      <c r="J28" s="771"/>
    </row>
    <row r="29" spans="1:15" ht="17.25" customHeight="1">
      <c r="A29" s="749"/>
      <c r="B29" s="711" t="s">
        <v>119</v>
      </c>
      <c r="C29" s="711" t="s">
        <v>164</v>
      </c>
      <c r="D29" s="740">
        <f>SUM(D30:D32)</f>
        <v>5000000</v>
      </c>
      <c r="E29" s="740">
        <f>SUM(E30:E32)</f>
        <v>13603816</v>
      </c>
      <c r="F29" s="740">
        <f t="shared" si="1"/>
        <v>8603816</v>
      </c>
      <c r="G29" s="736">
        <f>F29/D29*100</f>
        <v>172.07631999999998</v>
      </c>
      <c r="H29" s="772"/>
      <c r="I29" s="773"/>
      <c r="J29" s="774"/>
    </row>
    <row r="30" spans="1:15" ht="17.25" customHeight="1">
      <c r="A30" s="749"/>
      <c r="B30" s="704"/>
      <c r="C30" s="704" t="s">
        <v>247</v>
      </c>
      <c r="D30" s="666">
        <v>4000000</v>
      </c>
      <c r="E30" s="666">
        <v>7763286</v>
      </c>
      <c r="F30" s="666">
        <f t="shared" si="1"/>
        <v>3763286</v>
      </c>
      <c r="G30" s="737">
        <f>F30/D30*100</f>
        <v>94.082149999999999</v>
      </c>
      <c r="H30" s="868" t="s">
        <v>49</v>
      </c>
      <c r="I30" s="854"/>
      <c r="J30" s="855"/>
    </row>
    <row r="31" spans="1:15" ht="17.25" customHeight="1">
      <c r="A31" s="749"/>
      <c r="B31" s="704"/>
      <c r="C31" s="704" t="s">
        <v>252</v>
      </c>
      <c r="D31" s="666">
        <v>0</v>
      </c>
      <c r="E31" s="666">
        <v>0</v>
      </c>
      <c r="F31" s="666">
        <f t="shared" si="1"/>
        <v>0</v>
      </c>
      <c r="G31" s="737">
        <v>0</v>
      </c>
      <c r="H31" s="865"/>
      <c r="I31" s="866"/>
      <c r="J31" s="867"/>
    </row>
    <row r="32" spans="1:15" ht="48.75" customHeight="1">
      <c r="A32" s="702"/>
      <c r="B32" s="703"/>
      <c r="C32" s="704" t="s">
        <v>249</v>
      </c>
      <c r="D32" s="741">
        <v>1000000</v>
      </c>
      <c r="E32" s="666">
        <v>5840530</v>
      </c>
      <c r="F32" s="666">
        <f t="shared" si="1"/>
        <v>4840530</v>
      </c>
      <c r="G32" s="737">
        <f t="shared" ref="G32:G37" si="2">F32/D32*100</f>
        <v>484.053</v>
      </c>
      <c r="H32" s="853" t="s">
        <v>0</v>
      </c>
      <c r="I32" s="854"/>
      <c r="J32" s="855"/>
      <c r="L32" s="458"/>
    </row>
    <row r="33" spans="1:12" ht="17.25" customHeight="1">
      <c r="A33" s="717" t="s">
        <v>176</v>
      </c>
      <c r="B33" s="718" t="s">
        <v>114</v>
      </c>
      <c r="C33" s="718"/>
      <c r="D33" s="739">
        <f>D34</f>
        <v>96340</v>
      </c>
      <c r="E33" s="739">
        <f>E34</f>
        <v>97184</v>
      </c>
      <c r="F33" s="742">
        <f>E33-D33</f>
        <v>844</v>
      </c>
      <c r="G33" s="738">
        <f t="shared" si="2"/>
        <v>0.87606394021175016</v>
      </c>
      <c r="H33" s="856"/>
      <c r="I33" s="857"/>
      <c r="J33" s="858"/>
    </row>
    <row r="34" spans="1:12" ht="17.25" customHeight="1">
      <c r="A34" s="702"/>
      <c r="B34" s="710" t="s">
        <v>176</v>
      </c>
      <c r="C34" s="710" t="s">
        <v>164</v>
      </c>
      <c r="D34" s="740">
        <f>SUM(D35:D37)</f>
        <v>96340</v>
      </c>
      <c r="E34" s="740">
        <f>SUM(E35:E37)</f>
        <v>97184</v>
      </c>
      <c r="F34" s="740">
        <f>SUM(F35:F37)</f>
        <v>844</v>
      </c>
      <c r="G34" s="736">
        <f t="shared" si="2"/>
        <v>0.87606394021175016</v>
      </c>
      <c r="H34" s="859"/>
      <c r="I34" s="860"/>
      <c r="J34" s="861"/>
      <c r="L34" s="458"/>
    </row>
    <row r="35" spans="1:12" ht="17.25" customHeight="1">
      <c r="A35" s="702"/>
      <c r="B35" s="703"/>
      <c r="C35" s="703" t="s">
        <v>444</v>
      </c>
      <c r="D35" s="741">
        <v>60000</v>
      </c>
      <c r="E35" s="666">
        <v>60000</v>
      </c>
      <c r="F35" s="741">
        <f>E35-D35</f>
        <v>0</v>
      </c>
      <c r="G35" s="743">
        <f t="shared" si="2"/>
        <v>0</v>
      </c>
      <c r="H35" s="862" t="s">
        <v>35</v>
      </c>
      <c r="I35" s="863"/>
      <c r="J35" s="864"/>
    </row>
    <row r="36" spans="1:12" ht="17.25" customHeight="1">
      <c r="A36" s="702"/>
      <c r="B36" s="703"/>
      <c r="C36" s="703" t="s">
        <v>209</v>
      </c>
      <c r="D36" s="741">
        <v>26340</v>
      </c>
      <c r="E36" s="666">
        <v>27184</v>
      </c>
      <c r="F36" s="741">
        <f>E36-D36</f>
        <v>844</v>
      </c>
      <c r="G36" s="743">
        <f t="shared" si="2"/>
        <v>3.2042520880789676</v>
      </c>
      <c r="H36" s="862" t="s">
        <v>50</v>
      </c>
      <c r="I36" s="863"/>
      <c r="J36" s="864"/>
    </row>
    <row r="37" spans="1:12" ht="17.25" customHeight="1">
      <c r="A37" s="725"/>
      <c r="B37" s="726"/>
      <c r="C37" s="726" t="s">
        <v>435</v>
      </c>
      <c r="D37" s="745">
        <v>10000</v>
      </c>
      <c r="E37" s="666">
        <v>10000</v>
      </c>
      <c r="F37" s="745">
        <f>E37-D37</f>
        <v>0</v>
      </c>
      <c r="G37" s="746">
        <f t="shared" si="2"/>
        <v>0</v>
      </c>
      <c r="H37" s="850" t="s">
        <v>296</v>
      </c>
      <c r="I37" s="851"/>
      <c r="J37" s="852"/>
    </row>
  </sheetData>
  <mergeCells count="38">
    <mergeCell ref="A2:J2"/>
    <mergeCell ref="A4:C4"/>
    <mergeCell ref="D4:D5"/>
    <mergeCell ref="E4:E5"/>
    <mergeCell ref="F4:F5"/>
    <mergeCell ref="G4:G5"/>
    <mergeCell ref="H4:J5"/>
    <mergeCell ref="H16:J16"/>
    <mergeCell ref="A6:C6"/>
    <mergeCell ref="H6:J6"/>
    <mergeCell ref="H7:J7"/>
    <mergeCell ref="H8:J8"/>
    <mergeCell ref="H9:J9"/>
    <mergeCell ref="H10:J10"/>
    <mergeCell ref="H11:J11"/>
    <mergeCell ref="H12:J12"/>
    <mergeCell ref="H13:J13"/>
    <mergeCell ref="H14:J14"/>
    <mergeCell ref="H15:J15"/>
    <mergeCell ref="H31:J31"/>
    <mergeCell ref="H30:J30"/>
    <mergeCell ref="H17:J17"/>
    <mergeCell ref="H18:J18"/>
    <mergeCell ref="H19:J19"/>
    <mergeCell ref="H20:J20"/>
    <mergeCell ref="H21:J21"/>
    <mergeCell ref="H22:J22"/>
    <mergeCell ref="H23:J23"/>
    <mergeCell ref="H24:J24"/>
    <mergeCell ref="H25:J25"/>
    <mergeCell ref="H26:J26"/>
    <mergeCell ref="H27:J27"/>
    <mergeCell ref="H37:J37"/>
    <mergeCell ref="H32:J32"/>
    <mergeCell ref="H33:J33"/>
    <mergeCell ref="H34:J34"/>
    <mergeCell ref="H35:J35"/>
    <mergeCell ref="H36:J36"/>
  </mergeCells>
  <phoneticPr fontId="65" type="noConversion"/>
  <printOptions horizontalCentered="1" verticalCentered="1"/>
  <pageMargins left="0.39347222447395325" right="0.23597222566604614" top="3.9305556565523148E-2" bottom="3.9305556565523148E-2" header="0.51152777671813965" footer="0.51152777671813965"/>
  <pageSetup paperSize="9" scale="85" fitToWidth="0" fitToHeight="0" orientation="landscape" r:id="rId1"/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5">
    <tabColor rgb="FFFFFF00"/>
    <pageSetUpPr fitToPage="1"/>
  </sheetPr>
  <dimension ref="A1:Z154"/>
  <sheetViews>
    <sheetView view="pageBreakPreview" topLeftCell="A6" zoomScale="115" zoomScaleNormal="115" zoomScaleSheetLayoutView="115" workbookViewId="0">
      <selection activeCell="A20" activeCellId="6" sqref="M149 B10 A10:XFD10 A11:XFD11 A18:XFD18 A19:XFD19 A20:XFD20"/>
    </sheetView>
  </sheetViews>
  <sheetFormatPr defaultColWidth="9" defaultRowHeight="12.95" customHeight="1"/>
  <cols>
    <col min="1" max="1" width="10" style="622" customWidth="1"/>
    <col min="2" max="2" width="10.375" style="622" customWidth="1"/>
    <col min="3" max="3" width="15" style="623" customWidth="1"/>
    <col min="4" max="4" width="10.625" style="624" bestFit="1" customWidth="1"/>
    <col min="5" max="5" width="11.5" style="625" bestFit="1" customWidth="1"/>
    <col min="6" max="6" width="11.5" style="626" bestFit="1" customWidth="1"/>
    <col min="7" max="7" width="8.5" style="627" bestFit="1" customWidth="1"/>
    <col min="8" max="8" width="10.25" style="627" bestFit="1" customWidth="1"/>
    <col min="9" max="9" width="8.375" style="627" hidden="1" customWidth="1"/>
    <col min="10" max="10" width="10.25" style="627" bestFit="1" customWidth="1"/>
    <col min="11" max="11" width="10" style="627" hidden="1" customWidth="1"/>
    <col min="12" max="12" width="18.375" style="628" customWidth="1"/>
    <col min="13" max="13" width="10.625" style="573" customWidth="1"/>
    <col min="14" max="14" width="9.875" style="573" customWidth="1"/>
    <col min="15" max="15" width="4.75" style="573" customWidth="1"/>
    <col min="16" max="16" width="5.5" style="573" customWidth="1"/>
    <col min="17" max="17" width="3.5" style="573" customWidth="1"/>
    <col min="18" max="18" width="6.25" style="573" customWidth="1"/>
    <col min="19" max="19" width="5.75" style="573" customWidth="1"/>
    <col min="20" max="20" width="6.625" style="573" customWidth="1"/>
    <col min="21" max="21" width="20.25" style="573" customWidth="1"/>
    <col min="22" max="22" width="14.375" style="629" bestFit="1" customWidth="1"/>
    <col min="23" max="23" width="16.875" style="629" hidden="1" customWidth="1"/>
    <col min="24" max="24" width="0" style="629" hidden="1" customWidth="1"/>
    <col min="25" max="25" width="12.125" style="630" hidden="1" customWidth="1"/>
    <col min="26" max="26" width="11.5" style="630" bestFit="1" customWidth="1"/>
    <col min="27" max="16384" width="9" style="630"/>
  </cols>
  <sheetData>
    <row r="1" spans="1:26" ht="12" customHeight="1"/>
    <row r="2" spans="1:26" ht="19.5" customHeight="1">
      <c r="A2" s="907" t="s">
        <v>39</v>
      </c>
      <c r="B2" s="907"/>
      <c r="C2" s="907"/>
      <c r="D2" s="907"/>
      <c r="E2" s="907"/>
      <c r="F2" s="907"/>
      <c r="G2" s="907"/>
      <c r="H2" s="907"/>
      <c r="I2" s="907"/>
      <c r="J2" s="907"/>
      <c r="K2" s="907"/>
      <c r="L2" s="907"/>
      <c r="M2" s="907"/>
      <c r="N2" s="907"/>
      <c r="O2" s="907"/>
      <c r="P2" s="907"/>
      <c r="Q2" s="907"/>
      <c r="R2" s="907"/>
      <c r="S2" s="907"/>
      <c r="T2" s="907"/>
      <c r="U2" s="908"/>
    </row>
    <row r="3" spans="1:26" ht="15.75" customHeight="1">
      <c r="A3" s="631"/>
      <c r="B3" s="631"/>
      <c r="C3" s="632"/>
      <c r="D3" s="633"/>
      <c r="E3" s="631"/>
      <c r="F3" s="634"/>
      <c r="G3" s="635"/>
      <c r="H3" s="635"/>
      <c r="I3" s="635"/>
      <c r="J3" s="635"/>
      <c r="K3" s="635"/>
      <c r="L3" s="636"/>
      <c r="M3" s="637"/>
      <c r="N3" s="638"/>
      <c r="O3" s="638"/>
      <c r="P3" s="638"/>
      <c r="Q3" s="638"/>
      <c r="R3" s="638"/>
      <c r="S3" s="638"/>
      <c r="T3" s="638"/>
      <c r="U3" s="639" t="s">
        <v>210</v>
      </c>
    </row>
    <row r="4" spans="1:26" ht="18.75" customHeight="1">
      <c r="A4" s="909" t="s">
        <v>300</v>
      </c>
      <c r="B4" s="910"/>
      <c r="C4" s="910"/>
      <c r="D4" s="834" t="str">
        <f>'나. 세입세출(총괄)'!D5</f>
        <v>2024년
본 예산(A)</v>
      </c>
      <c r="E4" s="834" t="str">
        <f>'나. 세입세출(총괄)'!E5</f>
        <v>2024년 
1차 추경(B)</v>
      </c>
      <c r="F4" s="911" t="s">
        <v>15</v>
      </c>
      <c r="G4" s="913" t="s">
        <v>518</v>
      </c>
      <c r="H4" s="915" t="s">
        <v>100</v>
      </c>
      <c r="I4" s="915"/>
      <c r="J4" s="915"/>
      <c r="K4" s="915"/>
      <c r="L4" s="916" t="s">
        <v>17</v>
      </c>
      <c r="M4" s="917"/>
      <c r="N4" s="917"/>
      <c r="O4" s="917"/>
      <c r="P4" s="917"/>
      <c r="Q4" s="917"/>
      <c r="R4" s="917"/>
      <c r="S4" s="917"/>
      <c r="T4" s="917"/>
      <c r="U4" s="918"/>
    </row>
    <row r="5" spans="1:26" ht="18.75" customHeight="1">
      <c r="A5" s="640" t="s">
        <v>127</v>
      </c>
      <c r="B5" s="641" t="s">
        <v>110</v>
      </c>
      <c r="C5" s="642" t="s">
        <v>145</v>
      </c>
      <c r="D5" s="835"/>
      <c r="E5" s="835"/>
      <c r="F5" s="912"/>
      <c r="G5" s="914"/>
      <c r="H5" s="643" t="s">
        <v>81</v>
      </c>
      <c r="I5" s="644" t="s">
        <v>428</v>
      </c>
      <c r="J5" s="643" t="s">
        <v>102</v>
      </c>
      <c r="K5" s="643" t="s">
        <v>161</v>
      </c>
      <c r="L5" s="919"/>
      <c r="M5" s="919"/>
      <c r="N5" s="919"/>
      <c r="O5" s="919"/>
      <c r="P5" s="919"/>
      <c r="Q5" s="919"/>
      <c r="R5" s="919"/>
      <c r="S5" s="919"/>
      <c r="T5" s="919"/>
      <c r="U5" s="920"/>
    </row>
    <row r="6" spans="1:26" ht="18.75" customHeight="1">
      <c r="A6" s="905" t="s">
        <v>27</v>
      </c>
      <c r="B6" s="906"/>
      <c r="C6" s="906"/>
      <c r="D6" s="645">
        <f>D7+D74+D93+D148+D151</f>
        <v>148045000</v>
      </c>
      <c r="E6" s="645">
        <f>E7+E74+E93+E148+E151</f>
        <v>133326000</v>
      </c>
      <c r="F6" s="645">
        <f>E6-D6</f>
        <v>-14719000</v>
      </c>
      <c r="G6" s="646">
        <f t="shared" ref="G6:G151" si="0">F6/D6*100</f>
        <v>-9.9422472896754357</v>
      </c>
      <c r="H6" s="647">
        <f>H7+H74+H93+H148+H151</f>
        <v>106286870</v>
      </c>
      <c r="I6" s="647">
        <f>I7+I74+I93+I148+I151</f>
        <v>0</v>
      </c>
      <c r="J6" s="647">
        <f>J7+J74+J93+J148+J151</f>
        <v>27039130</v>
      </c>
      <c r="K6" s="754">
        <f>K7+K74+K93+K148+K151</f>
        <v>0</v>
      </c>
      <c r="L6" s="755"/>
      <c r="M6" s="648"/>
      <c r="N6" s="648"/>
      <c r="O6" s="648"/>
      <c r="P6" s="648"/>
      <c r="Q6" s="648"/>
      <c r="R6" s="648"/>
      <c r="S6" s="648"/>
      <c r="T6" s="648"/>
      <c r="U6" s="825">
        <f>U7+U74+U93+U148+U151</f>
        <v>133326000</v>
      </c>
      <c r="W6" s="629">
        <f>SUM(H6:K6)</f>
        <v>133326000</v>
      </c>
      <c r="X6" s="629">
        <f>E6-W6</f>
        <v>0</v>
      </c>
      <c r="Y6" s="649">
        <f>U6-W6</f>
        <v>0</v>
      </c>
      <c r="Z6" s="575"/>
    </row>
    <row r="7" spans="1:26" ht="18.75" customHeight="1">
      <c r="A7" s="650" t="s">
        <v>163</v>
      </c>
      <c r="B7" s="651" t="s">
        <v>114</v>
      </c>
      <c r="C7" s="651"/>
      <c r="D7" s="652">
        <f>SUM(D8+D39+D48)</f>
        <v>122066660</v>
      </c>
      <c r="E7" s="652">
        <f>SUM(E8,E39,E48)</f>
        <v>102417060</v>
      </c>
      <c r="F7" s="653">
        <f>E7-D7</f>
        <v>-19649600</v>
      </c>
      <c r="G7" s="654">
        <f t="shared" si="0"/>
        <v>-16.097433975829272</v>
      </c>
      <c r="H7" s="655">
        <f>H8+H39+H48</f>
        <v>90583000</v>
      </c>
      <c r="I7" s="655">
        <f>I8+I39+I48</f>
        <v>0</v>
      </c>
      <c r="J7" s="655">
        <f>J8+J39+J48</f>
        <v>11834060</v>
      </c>
      <c r="K7" s="756">
        <f>K8+K39+K48</f>
        <v>0</v>
      </c>
      <c r="L7" s="656"/>
      <c r="M7" s="656"/>
      <c r="N7" s="656"/>
      <c r="O7" s="656"/>
      <c r="P7" s="656"/>
      <c r="Q7" s="656"/>
      <c r="R7" s="656"/>
      <c r="S7" s="656"/>
      <c r="T7" s="656"/>
      <c r="U7" s="657">
        <f>U8+U39+U48</f>
        <v>102417060</v>
      </c>
      <c r="W7" s="629">
        <f>SUM(H7:K7)</f>
        <v>102417060</v>
      </c>
      <c r="X7" s="629">
        <f>E7-W7</f>
        <v>0</v>
      </c>
      <c r="Y7" s="649">
        <f>U7-W7</f>
        <v>0</v>
      </c>
    </row>
    <row r="8" spans="1:26" ht="18.75" customHeight="1">
      <c r="A8" s="658"/>
      <c r="B8" s="659" t="s">
        <v>155</v>
      </c>
      <c r="C8" s="659" t="s">
        <v>164</v>
      </c>
      <c r="D8" s="660">
        <f>SUM(D9,D14,D16,D27,D29,D35,)</f>
        <v>111706660</v>
      </c>
      <c r="E8" s="660">
        <f>SUM(E9,E14,E16,E27,E29,E35)</f>
        <v>92057060</v>
      </c>
      <c r="F8" s="660">
        <f>E8-D8</f>
        <v>-19649600</v>
      </c>
      <c r="G8" s="661">
        <f t="shared" si="0"/>
        <v>-17.590356743277439</v>
      </c>
      <c r="H8" s="662">
        <f>SUM(H9:H35)</f>
        <v>87983000</v>
      </c>
      <c r="I8" s="662">
        <f>SUM(I9:I35)</f>
        <v>0</v>
      </c>
      <c r="J8" s="662">
        <f>SUM(J9:J35)</f>
        <v>4074060</v>
      </c>
      <c r="K8" s="662">
        <f>SUM(K9:K35)</f>
        <v>0</v>
      </c>
      <c r="L8" s="663"/>
      <c r="M8" s="663"/>
      <c r="N8" s="663"/>
      <c r="O8" s="663"/>
      <c r="P8" s="663"/>
      <c r="Q8" s="663"/>
      <c r="R8" s="663"/>
      <c r="S8" s="663"/>
      <c r="T8" s="663"/>
      <c r="U8" s="664">
        <f>SUM(U9,U14,U16,U27,U29,U35)</f>
        <v>92057060</v>
      </c>
      <c r="W8" s="629">
        <f>SUM(H8:K8)</f>
        <v>92057060</v>
      </c>
      <c r="X8" s="629">
        <f>E8-W8</f>
        <v>0</v>
      </c>
      <c r="Y8" s="649">
        <f>U8-W8</f>
        <v>0</v>
      </c>
    </row>
    <row r="9" spans="1:26" ht="18.75" customHeight="1">
      <c r="A9" s="658"/>
      <c r="B9" s="665"/>
      <c r="C9" s="665" t="s">
        <v>113</v>
      </c>
      <c r="D9" s="666">
        <v>75315900</v>
      </c>
      <c r="E9" s="666">
        <f>SUM(H9:J9)</f>
        <v>65999100</v>
      </c>
      <c r="F9" s="666">
        <f>E9-D9</f>
        <v>-9316800</v>
      </c>
      <c r="G9" s="667">
        <f t="shared" si="0"/>
        <v>-12.370296311934133</v>
      </c>
      <c r="H9" s="668">
        <v>63606870</v>
      </c>
      <c r="I9" s="668">
        <v>0</v>
      </c>
      <c r="J9" s="668">
        <v>2392230</v>
      </c>
      <c r="K9" s="668">
        <v>0</v>
      </c>
      <c r="L9" s="671" t="s">
        <v>83</v>
      </c>
      <c r="M9" s="671"/>
      <c r="N9" s="672"/>
      <c r="O9" s="671"/>
      <c r="P9" s="673"/>
      <c r="Q9" s="671"/>
      <c r="R9" s="674"/>
      <c r="S9" s="671"/>
      <c r="T9" s="671"/>
      <c r="U9" s="675">
        <f>SUM(U10:U13)</f>
        <v>65999100</v>
      </c>
      <c r="Y9" s="649"/>
    </row>
    <row r="10" spans="1:26" ht="18.75" hidden="1" customHeight="1">
      <c r="A10" s="658"/>
      <c r="B10" s="665"/>
      <c r="C10" s="665"/>
      <c r="D10" s="666"/>
      <c r="E10" s="666"/>
      <c r="F10" s="666"/>
      <c r="G10" s="667"/>
      <c r="H10" s="668"/>
      <c r="I10" s="669"/>
      <c r="J10" s="669"/>
      <c r="K10" s="668"/>
      <c r="L10" s="671" t="s">
        <v>325</v>
      </c>
      <c r="M10" s="671" t="s">
        <v>63</v>
      </c>
      <c r="N10" s="672">
        <f>U10/P10/R10</f>
        <v>4899600</v>
      </c>
      <c r="O10" s="671" t="s">
        <v>123</v>
      </c>
      <c r="P10" s="673">
        <v>3</v>
      </c>
      <c r="Q10" s="671" t="s">
        <v>123</v>
      </c>
      <c r="R10" s="674">
        <v>1</v>
      </c>
      <c r="S10" s="671" t="s">
        <v>153</v>
      </c>
      <c r="T10" s="671"/>
      <c r="U10" s="676">
        <f>'사. 임직원보수 일람표'!F9</f>
        <v>14698800</v>
      </c>
      <c r="Y10" s="649"/>
    </row>
    <row r="11" spans="1:26" ht="18.75" hidden="1" customHeight="1">
      <c r="A11" s="658"/>
      <c r="B11" s="665"/>
      <c r="C11" s="665"/>
      <c r="D11" s="666"/>
      <c r="E11" s="666"/>
      <c r="F11" s="666"/>
      <c r="G11" s="667"/>
      <c r="H11" s="668"/>
      <c r="I11" s="669"/>
      <c r="J11" s="669"/>
      <c r="K11" s="668"/>
      <c r="L11" s="671"/>
      <c r="M11" s="671"/>
      <c r="N11" s="672">
        <f t="shared" ref="N11:N12" si="1">U11/P11/R11</f>
        <v>4960100</v>
      </c>
      <c r="O11" s="671" t="s">
        <v>123</v>
      </c>
      <c r="P11" s="673">
        <v>9</v>
      </c>
      <c r="Q11" s="671" t="s">
        <v>123</v>
      </c>
      <c r="R11" s="674">
        <v>1</v>
      </c>
      <c r="S11" s="671" t="s">
        <v>153</v>
      </c>
      <c r="T11" s="671"/>
      <c r="U11" s="676">
        <f>'사. 임직원보수 일람표'!F10</f>
        <v>44640900</v>
      </c>
      <c r="Y11" s="649"/>
    </row>
    <row r="12" spans="1:26" ht="18.75" customHeight="1">
      <c r="A12" s="658"/>
      <c r="B12" s="665"/>
      <c r="C12" s="665"/>
      <c r="D12" s="666"/>
      <c r="E12" s="666"/>
      <c r="F12" s="666"/>
      <c r="G12" s="667"/>
      <c r="H12" s="668"/>
      <c r="I12" s="669"/>
      <c r="J12" s="669"/>
      <c r="K12" s="668"/>
      <c r="L12" s="671" t="s">
        <v>303</v>
      </c>
      <c r="M12" s="671"/>
      <c r="N12" s="672">
        <f t="shared" si="1"/>
        <v>1109900</v>
      </c>
      <c r="O12" s="671" t="s">
        <v>123</v>
      </c>
      <c r="P12" s="673">
        <v>6</v>
      </c>
      <c r="Q12" s="671" t="s">
        <v>123</v>
      </c>
      <c r="R12" s="674">
        <v>1</v>
      </c>
      <c r="S12" s="671" t="s">
        <v>153</v>
      </c>
      <c r="T12" s="671"/>
      <c r="U12" s="676">
        <f>'사. 임직원보수 일람표'!F11</f>
        <v>6659400</v>
      </c>
      <c r="Y12" s="649"/>
    </row>
    <row r="13" spans="1:26" ht="18.75" hidden="1" customHeight="1">
      <c r="A13" s="658"/>
      <c r="B13" s="665"/>
      <c r="C13" s="665"/>
      <c r="D13" s="666"/>
      <c r="E13" s="666"/>
      <c r="F13" s="666"/>
      <c r="G13" s="667"/>
      <c r="H13" s="668"/>
      <c r="I13" s="669"/>
      <c r="J13" s="669"/>
      <c r="K13" s="668"/>
      <c r="L13" s="671"/>
      <c r="M13" s="671"/>
      <c r="N13" s="672"/>
      <c r="O13" s="671"/>
      <c r="P13" s="673"/>
      <c r="Q13" s="671"/>
      <c r="R13" s="674"/>
      <c r="S13" s="671"/>
      <c r="T13" s="671"/>
      <c r="U13" s="676"/>
      <c r="Y13" s="649"/>
    </row>
    <row r="14" spans="1:26" ht="18.75" hidden="1" customHeight="1">
      <c r="A14" s="658"/>
      <c r="B14" s="665"/>
      <c r="C14" s="665" t="s">
        <v>411</v>
      </c>
      <c r="D14" s="666">
        <v>0</v>
      </c>
      <c r="E14" s="666">
        <f>SUM(H14:K14)</f>
        <v>0</v>
      </c>
      <c r="F14" s="666">
        <f t="shared" ref="F14:F35" si="2">E14-D14</f>
        <v>0</v>
      </c>
      <c r="G14" s="667">
        <v>0</v>
      </c>
      <c r="H14" s="668">
        <v>0</v>
      </c>
      <c r="I14" s="668">
        <v>0</v>
      </c>
      <c r="J14" s="668">
        <v>0</v>
      </c>
      <c r="K14" s="668">
        <v>0</v>
      </c>
      <c r="L14" s="671" t="s">
        <v>331</v>
      </c>
      <c r="M14" s="671"/>
      <c r="N14" s="672"/>
      <c r="O14" s="671"/>
      <c r="P14" s="673"/>
      <c r="Q14" s="671"/>
      <c r="R14" s="674"/>
      <c r="S14" s="671"/>
      <c r="T14" s="671"/>
      <c r="U14" s="675">
        <f>E14</f>
        <v>0</v>
      </c>
      <c r="W14" s="629">
        <f>SUM(H14:K14)</f>
        <v>0</v>
      </c>
      <c r="X14" s="629">
        <f>E14-W14</f>
        <v>0</v>
      </c>
      <c r="Y14" s="649">
        <f>U14-W14</f>
        <v>0</v>
      </c>
    </row>
    <row r="15" spans="1:26" ht="18.75" hidden="1" customHeight="1">
      <c r="A15" s="658"/>
      <c r="B15" s="665"/>
      <c r="C15" s="665"/>
      <c r="D15" s="666"/>
      <c r="E15" s="666"/>
      <c r="F15" s="666"/>
      <c r="G15" s="667"/>
      <c r="H15" s="668"/>
      <c r="I15" s="669"/>
      <c r="J15" s="669"/>
      <c r="K15" s="668"/>
      <c r="L15" s="687" t="s">
        <v>75</v>
      </c>
      <c r="M15" s="671"/>
      <c r="N15" s="672">
        <v>0</v>
      </c>
      <c r="O15" s="671" t="s">
        <v>123</v>
      </c>
      <c r="P15" s="673">
        <v>12</v>
      </c>
      <c r="Q15" s="671" t="s">
        <v>123</v>
      </c>
      <c r="R15" s="674">
        <v>1</v>
      </c>
      <c r="S15" s="671" t="s">
        <v>153</v>
      </c>
      <c r="T15" s="671"/>
      <c r="U15" s="676">
        <f>N15*P15*R15</f>
        <v>0</v>
      </c>
      <c r="Y15" s="649"/>
    </row>
    <row r="16" spans="1:26" ht="18.75" customHeight="1">
      <c r="A16" s="658"/>
      <c r="B16" s="665"/>
      <c r="C16" s="665" t="s">
        <v>130</v>
      </c>
      <c r="D16" s="666">
        <v>18806420</v>
      </c>
      <c r="E16" s="666">
        <f>SUM(H16:K16)</f>
        <v>15509220</v>
      </c>
      <c r="F16" s="666">
        <f t="shared" si="2"/>
        <v>-3297200</v>
      </c>
      <c r="G16" s="667">
        <f t="shared" si="0"/>
        <v>-17.532310774724802</v>
      </c>
      <c r="H16" s="668">
        <v>14792020</v>
      </c>
      <c r="I16" s="668">
        <v>0</v>
      </c>
      <c r="J16" s="668">
        <v>717200</v>
      </c>
      <c r="K16" s="668">
        <v>0</v>
      </c>
      <c r="L16" s="671" t="s">
        <v>344</v>
      </c>
      <c r="M16" s="671"/>
      <c r="N16" s="672"/>
      <c r="O16" s="671"/>
      <c r="P16" s="673"/>
      <c r="Q16" s="671"/>
      <c r="R16" s="674"/>
      <c r="S16" s="671"/>
      <c r="T16" s="671"/>
      <c r="U16" s="675">
        <f>U17+U22+U25</f>
        <v>15509220</v>
      </c>
      <c r="W16" s="629">
        <f>SUM(H16:K16)</f>
        <v>15509220</v>
      </c>
      <c r="X16" s="629">
        <f>E16-W16</f>
        <v>0</v>
      </c>
      <c r="Y16" s="649">
        <f>U16-W16</f>
        <v>0</v>
      </c>
    </row>
    <row r="17" spans="1:25" ht="18.75" customHeight="1">
      <c r="A17" s="658"/>
      <c r="B17" s="665"/>
      <c r="C17" s="665"/>
      <c r="D17" s="666"/>
      <c r="E17" s="666"/>
      <c r="F17" s="666"/>
      <c r="G17" s="667"/>
      <c r="H17" s="668"/>
      <c r="I17" s="669"/>
      <c r="J17" s="669"/>
      <c r="K17" s="668"/>
      <c r="L17" s="757" t="s">
        <v>320</v>
      </c>
      <c r="M17" s="671"/>
      <c r="N17" s="672"/>
      <c r="O17" s="671"/>
      <c r="P17" s="673"/>
      <c r="Q17" s="671"/>
      <c r="R17" s="674"/>
      <c r="S17" s="671"/>
      <c r="T17" s="671"/>
      <c r="U17" s="676">
        <f>SUM(U18:U21)</f>
        <v>5915820</v>
      </c>
      <c r="Y17" s="649"/>
    </row>
    <row r="18" spans="1:25" ht="18.75" hidden="1" customHeight="1">
      <c r="A18" s="658"/>
      <c r="B18" s="665"/>
      <c r="C18" s="665"/>
      <c r="D18" s="666"/>
      <c r="E18" s="666"/>
      <c r="F18" s="666"/>
      <c r="G18" s="667"/>
      <c r="H18" s="668"/>
      <c r="I18" s="669"/>
      <c r="J18" s="669"/>
      <c r="K18" s="668"/>
      <c r="L18" s="671" t="s">
        <v>325</v>
      </c>
      <c r="M18" s="671" t="s">
        <v>63</v>
      </c>
      <c r="N18" s="672">
        <f>U18/P18/R18</f>
        <v>4899600</v>
      </c>
      <c r="O18" s="671" t="s">
        <v>123</v>
      </c>
      <c r="P18" s="673">
        <v>1</v>
      </c>
      <c r="Q18" s="671" t="s">
        <v>123</v>
      </c>
      <c r="R18" s="678">
        <v>0.6</v>
      </c>
      <c r="S18" s="671" t="s">
        <v>153</v>
      </c>
      <c r="T18" s="671"/>
      <c r="U18" s="676">
        <f>'사. 임직원보수 일람표'!G9</f>
        <v>2939760</v>
      </c>
      <c r="Y18" s="649"/>
    </row>
    <row r="19" spans="1:25" ht="18.75" hidden="1" customHeight="1">
      <c r="A19" s="658"/>
      <c r="B19" s="665"/>
      <c r="C19" s="665"/>
      <c r="D19" s="666"/>
      <c r="E19" s="666"/>
      <c r="F19" s="666"/>
      <c r="G19" s="667"/>
      <c r="H19" s="668"/>
      <c r="I19" s="669"/>
      <c r="J19" s="669"/>
      <c r="K19" s="668"/>
      <c r="L19" s="671"/>
      <c r="M19" s="671"/>
      <c r="N19" s="672">
        <f>U19/P19/R19</f>
        <v>4960100</v>
      </c>
      <c r="O19" s="671" t="s">
        <v>123</v>
      </c>
      <c r="P19" s="673">
        <v>1</v>
      </c>
      <c r="Q19" s="671" t="s">
        <v>123</v>
      </c>
      <c r="R19" s="678">
        <v>0.6</v>
      </c>
      <c r="S19" s="671" t="s">
        <v>153</v>
      </c>
      <c r="T19" s="671"/>
      <c r="U19" s="676">
        <f>'사. 임직원보수 일람표'!G10</f>
        <v>2976060</v>
      </c>
      <c r="Y19" s="649"/>
    </row>
    <row r="20" spans="1:25" ht="18.75" hidden="1" customHeight="1">
      <c r="A20" s="658"/>
      <c r="B20" s="665"/>
      <c r="C20" s="665"/>
      <c r="D20" s="666"/>
      <c r="E20" s="666"/>
      <c r="F20" s="666"/>
      <c r="G20" s="667"/>
      <c r="H20" s="668"/>
      <c r="I20" s="669"/>
      <c r="J20" s="669"/>
      <c r="K20" s="668"/>
      <c r="L20" s="671" t="s">
        <v>303</v>
      </c>
      <c r="M20" s="671"/>
      <c r="N20" s="672">
        <f>U20/P20/R20</f>
        <v>0</v>
      </c>
      <c r="O20" s="671" t="s">
        <v>123</v>
      </c>
      <c r="P20" s="673">
        <v>1</v>
      </c>
      <c r="Q20" s="671" t="s">
        <v>123</v>
      </c>
      <c r="R20" s="678">
        <v>0.6</v>
      </c>
      <c r="S20" s="671" t="s">
        <v>153</v>
      </c>
      <c r="T20" s="671"/>
      <c r="U20" s="676">
        <f>'사. 임직원보수 일람표'!G11</f>
        <v>0</v>
      </c>
      <c r="Y20" s="649"/>
    </row>
    <row r="21" spans="1:25" ht="18.75" hidden="1" customHeight="1">
      <c r="A21" s="658"/>
      <c r="B21" s="665"/>
      <c r="C21" s="665"/>
      <c r="D21" s="666"/>
      <c r="E21" s="666"/>
      <c r="F21" s="666"/>
      <c r="G21" s="667"/>
      <c r="H21" s="668"/>
      <c r="I21" s="669"/>
      <c r="J21" s="669"/>
      <c r="K21" s="668"/>
      <c r="L21" s="671"/>
      <c r="M21" s="671"/>
      <c r="N21" s="672">
        <f>U21/P21/R21</f>
        <v>0</v>
      </c>
      <c r="O21" s="671" t="s">
        <v>123</v>
      </c>
      <c r="P21" s="673">
        <v>1</v>
      </c>
      <c r="Q21" s="671" t="s">
        <v>123</v>
      </c>
      <c r="R21" s="678">
        <v>0.6</v>
      </c>
      <c r="S21" s="671" t="s">
        <v>153</v>
      </c>
      <c r="T21" s="671"/>
      <c r="U21" s="676">
        <f>'사. 임직원보수 일람표'!G12</f>
        <v>0</v>
      </c>
      <c r="Y21" s="649"/>
    </row>
    <row r="22" spans="1:25" ht="18.75" customHeight="1">
      <c r="A22" s="658"/>
      <c r="B22" s="665"/>
      <c r="C22" s="665"/>
      <c r="D22" s="666"/>
      <c r="E22" s="666"/>
      <c r="F22" s="666"/>
      <c r="G22" s="667"/>
      <c r="H22" s="668"/>
      <c r="I22" s="669"/>
      <c r="J22" s="669"/>
      <c r="K22" s="668"/>
      <c r="L22" s="757" t="s">
        <v>318</v>
      </c>
      <c r="M22" s="671"/>
      <c r="N22" s="672"/>
      <c r="O22" s="671"/>
      <c r="P22" s="673"/>
      <c r="Q22" s="671"/>
      <c r="R22" s="674"/>
      <c r="S22" s="671"/>
      <c r="T22" s="671"/>
      <c r="U22" s="676">
        <f>SUM(U23:U24)</f>
        <v>120000</v>
      </c>
      <c r="Y22" s="649"/>
    </row>
    <row r="23" spans="1:25" ht="18.75" hidden="1" customHeight="1">
      <c r="A23" s="658"/>
      <c r="B23" s="665"/>
      <c r="C23" s="665"/>
      <c r="D23" s="666"/>
      <c r="E23" s="666"/>
      <c r="F23" s="666"/>
      <c r="G23" s="667"/>
      <c r="H23" s="668"/>
      <c r="I23" s="669"/>
      <c r="J23" s="669"/>
      <c r="K23" s="668"/>
      <c r="L23" s="671" t="s">
        <v>325</v>
      </c>
      <c r="M23" s="671" t="s">
        <v>63</v>
      </c>
      <c r="N23" s="672">
        <f>U23/P23/R23</f>
        <v>0</v>
      </c>
      <c r="O23" s="671" t="s">
        <v>123</v>
      </c>
      <c r="P23" s="673">
        <v>12</v>
      </c>
      <c r="Q23" s="671" t="s">
        <v>123</v>
      </c>
      <c r="R23" s="674">
        <v>1</v>
      </c>
      <c r="S23" s="671" t="s">
        <v>153</v>
      </c>
      <c r="T23" s="671"/>
      <c r="U23" s="676">
        <f>'사. 임직원보수 일람표'!H9+'사. 임직원보수 일람표'!H10</f>
        <v>0</v>
      </c>
      <c r="Y23" s="649"/>
    </row>
    <row r="24" spans="1:25" ht="18.75" customHeight="1">
      <c r="A24" s="658"/>
      <c r="B24" s="665"/>
      <c r="C24" s="665"/>
      <c r="D24" s="666"/>
      <c r="E24" s="666"/>
      <c r="F24" s="666"/>
      <c r="G24" s="667"/>
      <c r="H24" s="668"/>
      <c r="I24" s="669"/>
      <c r="J24" s="669"/>
      <c r="K24" s="668"/>
      <c r="L24" s="671" t="s">
        <v>303</v>
      </c>
      <c r="M24" s="671"/>
      <c r="N24" s="672">
        <f>U24/P24/R24</f>
        <v>20000</v>
      </c>
      <c r="O24" s="671" t="s">
        <v>123</v>
      </c>
      <c r="P24" s="673">
        <v>6</v>
      </c>
      <c r="Q24" s="671" t="s">
        <v>123</v>
      </c>
      <c r="R24" s="674">
        <v>1</v>
      </c>
      <c r="S24" s="671" t="s">
        <v>153</v>
      </c>
      <c r="T24" s="671"/>
      <c r="U24" s="676">
        <f>'사. 임직원보수 일람표'!H11+'사. 임직원보수 일람표'!H12</f>
        <v>120000</v>
      </c>
      <c r="Y24" s="649"/>
    </row>
    <row r="25" spans="1:25" ht="18.75" customHeight="1">
      <c r="A25" s="658"/>
      <c r="B25" s="665"/>
      <c r="C25" s="665"/>
      <c r="D25" s="666"/>
      <c r="E25" s="666"/>
      <c r="F25" s="666"/>
      <c r="G25" s="667"/>
      <c r="H25" s="668"/>
      <c r="I25" s="669"/>
      <c r="J25" s="669"/>
      <c r="K25" s="668"/>
      <c r="L25" s="757" t="s">
        <v>307</v>
      </c>
      <c r="M25" s="671"/>
      <c r="N25" s="672"/>
      <c r="O25" s="671"/>
      <c r="P25" s="673"/>
      <c r="Q25" s="671"/>
      <c r="R25" s="674"/>
      <c r="S25" s="671"/>
      <c r="T25" s="671"/>
      <c r="U25" s="676">
        <f>U26</f>
        <v>9473400</v>
      </c>
      <c r="Y25" s="649"/>
    </row>
    <row r="26" spans="1:25" ht="20.25" customHeight="1">
      <c r="A26" s="658"/>
      <c r="B26" s="665"/>
      <c r="C26" s="665"/>
      <c r="D26" s="666"/>
      <c r="E26" s="666"/>
      <c r="F26" s="666"/>
      <c r="G26" s="667"/>
      <c r="H26" s="668"/>
      <c r="I26" s="669"/>
      <c r="J26" s="669"/>
      <c r="K26" s="668"/>
      <c r="L26" s="758"/>
      <c r="M26" s="758">
        <f>U10+U11</f>
        <v>59339700</v>
      </c>
      <c r="N26" s="759" t="s">
        <v>356</v>
      </c>
      <c r="O26" s="671" t="s">
        <v>123</v>
      </c>
      <c r="P26" s="760" t="s">
        <v>56</v>
      </c>
      <c r="Q26" s="671" t="s">
        <v>123</v>
      </c>
      <c r="R26" s="671" t="s">
        <v>357</v>
      </c>
      <c r="S26" s="671" t="s">
        <v>153</v>
      </c>
      <c r="T26" s="671"/>
      <c r="U26" s="676">
        <f>'사. 임직원보수 일람표'!I41</f>
        <v>9473400</v>
      </c>
      <c r="Y26" s="649"/>
    </row>
    <row r="27" spans="1:25" ht="18.75" customHeight="1">
      <c r="A27" s="658"/>
      <c r="B27" s="665"/>
      <c r="C27" s="665" t="s">
        <v>204</v>
      </c>
      <c r="D27" s="666">
        <v>7843530</v>
      </c>
      <c r="E27" s="666">
        <f>SUM(H27:K27)</f>
        <v>6792360</v>
      </c>
      <c r="F27" s="666">
        <f t="shared" si="2"/>
        <v>-1051170</v>
      </c>
      <c r="G27" s="667">
        <f t="shared" si="0"/>
        <v>-13.401746407548643</v>
      </c>
      <c r="H27" s="668">
        <v>6362670</v>
      </c>
      <c r="I27" s="668">
        <v>0</v>
      </c>
      <c r="J27" s="668">
        <v>429690</v>
      </c>
      <c r="K27" s="668">
        <v>0</v>
      </c>
      <c r="L27" s="671" t="s">
        <v>386</v>
      </c>
      <c r="M27" s="671"/>
      <c r="N27" s="672"/>
      <c r="O27" s="671"/>
      <c r="P27" s="679"/>
      <c r="Q27" s="671"/>
      <c r="R27" s="674"/>
      <c r="S27" s="671"/>
      <c r="T27" s="671"/>
      <c r="U27" s="675">
        <f>U28</f>
        <v>6792360</v>
      </c>
      <c r="W27" s="629">
        <f>SUM(H27:K27)</f>
        <v>6792360</v>
      </c>
      <c r="X27" s="629">
        <f>E27-W27</f>
        <v>0</v>
      </c>
      <c r="Y27" s="649">
        <f>U27-W27</f>
        <v>0</v>
      </c>
    </row>
    <row r="28" spans="1:25" ht="18.75" customHeight="1">
      <c r="A28" s="658"/>
      <c r="B28" s="665"/>
      <c r="C28" s="665"/>
      <c r="D28" s="666"/>
      <c r="E28" s="666"/>
      <c r="F28" s="666"/>
      <c r="G28" s="667"/>
      <c r="H28" s="668"/>
      <c r="I28" s="669"/>
      <c r="J28" s="669"/>
      <c r="K28" s="668"/>
      <c r="L28" s="671"/>
      <c r="M28" s="671"/>
      <c r="N28" s="672">
        <f>U9+U16</f>
        <v>81508320</v>
      </c>
      <c r="O28" s="671" t="s">
        <v>123</v>
      </c>
      <c r="P28" s="679" t="s">
        <v>349</v>
      </c>
      <c r="Q28" s="671"/>
      <c r="R28" s="674"/>
      <c r="S28" s="671" t="s">
        <v>153</v>
      </c>
      <c r="T28" s="671"/>
      <c r="U28" s="676">
        <f>'사. 임직원보수 일람표'!K41</f>
        <v>6792360</v>
      </c>
      <c r="Y28" s="649"/>
    </row>
    <row r="29" spans="1:25" ht="18.75" customHeight="1">
      <c r="A29" s="658"/>
      <c r="B29" s="665"/>
      <c r="C29" s="665" t="s">
        <v>199</v>
      </c>
      <c r="D29" s="666">
        <v>9740810</v>
      </c>
      <c r="E29" s="666">
        <f>SUM(H29:K29)</f>
        <v>3756380</v>
      </c>
      <c r="F29" s="666">
        <f t="shared" si="2"/>
        <v>-5984430</v>
      </c>
      <c r="G29" s="667">
        <f t="shared" si="0"/>
        <v>-61.436677237313944</v>
      </c>
      <c r="H29" s="668">
        <v>3221440</v>
      </c>
      <c r="I29" s="668">
        <v>0</v>
      </c>
      <c r="J29" s="668">
        <v>534940</v>
      </c>
      <c r="K29" s="668">
        <v>0</v>
      </c>
      <c r="L29" s="671" t="s">
        <v>219</v>
      </c>
      <c r="M29" s="680"/>
      <c r="N29" s="672"/>
      <c r="O29" s="671"/>
      <c r="P29" s="673"/>
      <c r="Q29" s="671"/>
      <c r="R29" s="674"/>
      <c r="S29" s="671"/>
      <c r="T29" s="671"/>
      <c r="U29" s="675">
        <f>SUM(U30:U34)</f>
        <v>3756380</v>
      </c>
      <c r="W29" s="629">
        <f>SUM(H29:K29)</f>
        <v>3756380</v>
      </c>
      <c r="X29" s="629">
        <f>E29-W29</f>
        <v>0</v>
      </c>
      <c r="Y29" s="649">
        <f>U29-W29</f>
        <v>0</v>
      </c>
    </row>
    <row r="30" spans="1:25" ht="18.75" customHeight="1">
      <c r="A30" s="658"/>
      <c r="B30" s="665"/>
      <c r="C30" s="665"/>
      <c r="D30" s="666"/>
      <c r="E30" s="666"/>
      <c r="F30" s="666"/>
      <c r="G30" s="667"/>
      <c r="H30" s="668"/>
      <c r="I30" s="669"/>
      <c r="J30" s="669"/>
      <c r="K30" s="668"/>
      <c r="L30" s="687" t="s">
        <v>438</v>
      </c>
      <c r="M30" s="680"/>
      <c r="N30" s="672">
        <f>U9+U16</f>
        <v>81508320</v>
      </c>
      <c r="O30" s="671" t="s">
        <v>123</v>
      </c>
      <c r="P30" s="682">
        <v>4.4999999999999998E-2</v>
      </c>
      <c r="Q30" s="671"/>
      <c r="R30" s="674"/>
      <c r="S30" s="671" t="s">
        <v>153</v>
      </c>
      <c r="T30" s="671"/>
      <c r="U30" s="676">
        <f>'사. 임직원보수 일람표'!N41</f>
        <v>348080</v>
      </c>
      <c r="V30" s="681"/>
      <c r="Y30" s="649"/>
    </row>
    <row r="31" spans="1:25" ht="18.75" customHeight="1">
      <c r="A31" s="658"/>
      <c r="B31" s="665"/>
      <c r="C31" s="665"/>
      <c r="D31" s="666"/>
      <c r="E31" s="666"/>
      <c r="F31" s="666"/>
      <c r="G31" s="667"/>
      <c r="H31" s="668"/>
      <c r="I31" s="669"/>
      <c r="J31" s="669"/>
      <c r="K31" s="668"/>
      <c r="L31" s="687" t="s">
        <v>483</v>
      </c>
      <c r="M31" s="680"/>
      <c r="N31" s="672">
        <f>N30</f>
        <v>81508320</v>
      </c>
      <c r="O31" s="671" t="s">
        <v>123</v>
      </c>
      <c r="P31" s="683">
        <v>3.5450000000000002E-2</v>
      </c>
      <c r="Q31" s="671"/>
      <c r="R31" s="674"/>
      <c r="S31" s="671" t="s">
        <v>153</v>
      </c>
      <c r="T31" s="671"/>
      <c r="U31" s="676">
        <f>'사. 임직원보수 일람표'!L41</f>
        <v>2889470</v>
      </c>
      <c r="V31" s="681"/>
      <c r="Y31" s="649"/>
    </row>
    <row r="32" spans="1:25" ht="18.75" customHeight="1">
      <c r="A32" s="658"/>
      <c r="B32" s="665"/>
      <c r="C32" s="665"/>
      <c r="D32" s="666"/>
      <c r="E32" s="666"/>
      <c r="F32" s="666"/>
      <c r="G32" s="667"/>
      <c r="H32" s="668"/>
      <c r="I32" s="669"/>
      <c r="J32" s="669"/>
      <c r="K32" s="668"/>
      <c r="L32" s="687" t="s">
        <v>229</v>
      </c>
      <c r="M32" s="680"/>
      <c r="N32" s="672">
        <f>U31</f>
        <v>2889470</v>
      </c>
      <c r="O32" s="671" t="s">
        <v>123</v>
      </c>
      <c r="P32" s="684">
        <v>0.12809999999999999</v>
      </c>
      <c r="Q32" s="671"/>
      <c r="R32" s="674"/>
      <c r="S32" s="671" t="s">
        <v>153</v>
      </c>
      <c r="T32" s="671"/>
      <c r="U32" s="676">
        <f>'사. 임직원보수 일람표'!M41</f>
        <v>374190</v>
      </c>
      <c r="V32" s="681"/>
      <c r="Y32" s="649"/>
    </row>
    <row r="33" spans="1:25" ht="18.75" customHeight="1">
      <c r="A33" s="658"/>
      <c r="B33" s="665"/>
      <c r="C33" s="665"/>
      <c r="D33" s="666"/>
      <c r="E33" s="666"/>
      <c r="F33" s="666"/>
      <c r="G33" s="667"/>
      <c r="H33" s="668"/>
      <c r="I33" s="669"/>
      <c r="J33" s="669"/>
      <c r="K33" s="668"/>
      <c r="L33" s="687" t="s">
        <v>452</v>
      </c>
      <c r="M33" s="680"/>
      <c r="N33" s="672">
        <f>N31</f>
        <v>81508320</v>
      </c>
      <c r="O33" s="671" t="s">
        <v>123</v>
      </c>
      <c r="P33" s="684">
        <v>1.0500000000000001E-2</v>
      </c>
      <c r="Q33" s="671"/>
      <c r="R33" s="674"/>
      <c r="S33" s="671" t="s">
        <v>153</v>
      </c>
      <c r="T33" s="671"/>
      <c r="U33" s="676">
        <f>'사. 임직원보수 일람표'!O41</f>
        <v>88950</v>
      </c>
      <c r="V33" s="681"/>
      <c r="Y33" s="649"/>
    </row>
    <row r="34" spans="1:25" ht="18.75" customHeight="1">
      <c r="A34" s="658"/>
      <c r="B34" s="665"/>
      <c r="C34" s="665"/>
      <c r="D34" s="666"/>
      <c r="E34" s="666"/>
      <c r="F34" s="666"/>
      <c r="G34" s="667"/>
      <c r="H34" s="668"/>
      <c r="I34" s="669"/>
      <c r="J34" s="669"/>
      <c r="K34" s="668"/>
      <c r="L34" s="687" t="s">
        <v>467</v>
      </c>
      <c r="M34" s="680"/>
      <c r="N34" s="672">
        <f>N33</f>
        <v>81508320</v>
      </c>
      <c r="O34" s="671" t="s">
        <v>123</v>
      </c>
      <c r="P34" s="683">
        <v>8.0000000000000002E-3</v>
      </c>
      <c r="Q34" s="671"/>
      <c r="R34" s="674"/>
      <c r="S34" s="671" t="s">
        <v>153</v>
      </c>
      <c r="T34" s="671"/>
      <c r="U34" s="676">
        <f>'사. 임직원보수 일람표'!P41</f>
        <v>55690</v>
      </c>
      <c r="V34" s="681"/>
      <c r="Y34" s="649"/>
    </row>
    <row r="35" spans="1:25" ht="18.75" hidden="1" customHeight="1">
      <c r="A35" s="658"/>
      <c r="B35" s="665"/>
      <c r="C35" s="665" t="s">
        <v>446</v>
      </c>
      <c r="D35" s="666">
        <v>0</v>
      </c>
      <c r="E35" s="666">
        <f>SUM(H35:K35)</f>
        <v>0</v>
      </c>
      <c r="F35" s="666">
        <f t="shared" si="2"/>
        <v>0</v>
      </c>
      <c r="G35" s="667">
        <v>0</v>
      </c>
      <c r="H35" s="668">
        <v>0</v>
      </c>
      <c r="I35" s="668">
        <v>0</v>
      </c>
      <c r="J35" s="668">
        <v>0</v>
      </c>
      <c r="K35" s="668">
        <v>0</v>
      </c>
      <c r="L35" s="671" t="s">
        <v>311</v>
      </c>
      <c r="M35" s="680"/>
      <c r="N35" s="672"/>
      <c r="O35" s="671"/>
      <c r="P35" s="673"/>
      <c r="Q35" s="671"/>
      <c r="R35" s="674"/>
      <c r="S35" s="671"/>
      <c r="T35" s="671"/>
      <c r="U35" s="675">
        <f>SUM(U36:U38)</f>
        <v>0</v>
      </c>
      <c r="W35" s="629">
        <f>SUM(H35:K35)</f>
        <v>0</v>
      </c>
      <c r="X35" s="629">
        <f>E35-W35</f>
        <v>0</v>
      </c>
      <c r="Y35" s="649">
        <f>U35-W35</f>
        <v>0</v>
      </c>
    </row>
    <row r="36" spans="1:25" ht="18.75" hidden="1" customHeight="1">
      <c r="A36" s="658"/>
      <c r="B36" s="665"/>
      <c r="C36" s="665"/>
      <c r="D36" s="666"/>
      <c r="E36" s="666"/>
      <c r="F36" s="666"/>
      <c r="G36" s="667"/>
      <c r="H36" s="668"/>
      <c r="I36" s="668"/>
      <c r="J36" s="668"/>
      <c r="K36" s="668"/>
      <c r="L36" s="670" t="s">
        <v>345</v>
      </c>
      <c r="M36" s="680"/>
      <c r="N36" s="672">
        <v>0</v>
      </c>
      <c r="O36" s="671" t="s">
        <v>123</v>
      </c>
      <c r="P36" s="673">
        <v>12</v>
      </c>
      <c r="Q36" s="671"/>
      <c r="R36" s="674"/>
      <c r="S36" s="671" t="s">
        <v>153</v>
      </c>
      <c r="T36" s="671"/>
      <c r="U36" s="676">
        <f>N36*P36</f>
        <v>0</v>
      </c>
      <c r="Y36" s="649"/>
    </row>
    <row r="37" spans="1:25" ht="18.75" hidden="1" customHeight="1">
      <c r="A37" s="658"/>
      <c r="B37" s="665"/>
      <c r="C37" s="665"/>
      <c r="D37" s="666"/>
      <c r="E37" s="666"/>
      <c r="F37" s="666"/>
      <c r="G37" s="667"/>
      <c r="H37" s="668"/>
      <c r="I37" s="668"/>
      <c r="J37" s="668"/>
      <c r="K37" s="668"/>
      <c r="L37" s="670" t="s">
        <v>368</v>
      </c>
      <c r="M37" s="680"/>
      <c r="N37" s="672">
        <v>0</v>
      </c>
      <c r="O37" s="671" t="s">
        <v>123</v>
      </c>
      <c r="P37" s="686">
        <v>1</v>
      </c>
      <c r="Q37" s="671" t="s">
        <v>123</v>
      </c>
      <c r="R37" s="674">
        <v>16</v>
      </c>
      <c r="S37" s="671" t="s">
        <v>153</v>
      </c>
      <c r="T37" s="671"/>
      <c r="U37" s="676">
        <f>N37*P37*R37</f>
        <v>0</v>
      </c>
      <c r="Y37" s="649"/>
    </row>
    <row r="38" spans="1:25" ht="18.75" hidden="1" customHeight="1">
      <c r="A38" s="658"/>
      <c r="B38" s="665"/>
      <c r="C38" s="665"/>
      <c r="D38" s="666"/>
      <c r="E38" s="666"/>
      <c r="F38" s="666"/>
      <c r="G38" s="667"/>
      <c r="H38" s="668"/>
      <c r="I38" s="668"/>
      <c r="J38" s="668"/>
      <c r="K38" s="668"/>
      <c r="L38" s="670" t="s">
        <v>381</v>
      </c>
      <c r="M38" s="680"/>
      <c r="N38" s="672">
        <v>0</v>
      </c>
      <c r="O38" s="671" t="s">
        <v>123</v>
      </c>
      <c r="P38" s="686">
        <v>1</v>
      </c>
      <c r="Q38" s="671" t="s">
        <v>123</v>
      </c>
      <c r="R38" s="674">
        <v>10</v>
      </c>
      <c r="S38" s="671" t="s">
        <v>153</v>
      </c>
      <c r="T38" s="671"/>
      <c r="U38" s="676">
        <f>N38*P38*R38</f>
        <v>0</v>
      </c>
      <c r="Y38" s="649"/>
    </row>
    <row r="39" spans="1:25" ht="18.75" customHeight="1">
      <c r="A39" s="658"/>
      <c r="B39" s="659" t="s">
        <v>433</v>
      </c>
      <c r="C39" s="659" t="s">
        <v>164</v>
      </c>
      <c r="D39" s="660">
        <f>SUM(D40:D47)</f>
        <v>140000</v>
      </c>
      <c r="E39" s="660">
        <f>SUM(E40,E45)</f>
        <v>140000</v>
      </c>
      <c r="F39" s="660">
        <f>E39-D39</f>
        <v>0</v>
      </c>
      <c r="G39" s="661">
        <f t="shared" si="0"/>
        <v>0</v>
      </c>
      <c r="H39" s="662">
        <f>SUM(H40:H45)</f>
        <v>0</v>
      </c>
      <c r="I39" s="662">
        <f>SUM(I40:I45)</f>
        <v>0</v>
      </c>
      <c r="J39" s="662">
        <f>SUM(J40:J45)</f>
        <v>140000</v>
      </c>
      <c r="K39" s="662">
        <f>SUM(K40:K45)</f>
        <v>0</v>
      </c>
      <c r="L39" s="663"/>
      <c r="M39" s="663"/>
      <c r="N39" s="663"/>
      <c r="O39" s="663"/>
      <c r="P39" s="663"/>
      <c r="Q39" s="663"/>
      <c r="R39" s="663"/>
      <c r="S39" s="663"/>
      <c r="T39" s="663"/>
      <c r="U39" s="664">
        <f>SUM(U40,U43,U45)</f>
        <v>140000</v>
      </c>
      <c r="W39" s="629">
        <f>SUM(H39:K39)</f>
        <v>140000</v>
      </c>
      <c r="X39" s="629">
        <f>E39-W39</f>
        <v>0</v>
      </c>
      <c r="Y39" s="649">
        <f>U39-W39</f>
        <v>0</v>
      </c>
    </row>
    <row r="40" spans="1:25" ht="18.75" hidden="1" customHeight="1">
      <c r="A40" s="658"/>
      <c r="B40" s="665"/>
      <c r="C40" s="665" t="s">
        <v>461</v>
      </c>
      <c r="D40" s="666">
        <v>0</v>
      </c>
      <c r="E40" s="666">
        <f>SUM(H40:K40)</f>
        <v>0</v>
      </c>
      <c r="F40" s="666">
        <f>E40-D40</f>
        <v>0</v>
      </c>
      <c r="G40" s="667">
        <v>0</v>
      </c>
      <c r="H40" s="668">
        <v>0</v>
      </c>
      <c r="I40" s="668">
        <v>0</v>
      </c>
      <c r="J40" s="668">
        <v>0</v>
      </c>
      <c r="K40" s="668">
        <v>0</v>
      </c>
      <c r="L40" s="671" t="s">
        <v>378</v>
      </c>
      <c r="M40" s="680"/>
      <c r="N40" s="672"/>
      <c r="O40" s="671"/>
      <c r="P40" s="673"/>
      <c r="Q40" s="671"/>
      <c r="R40" s="674"/>
      <c r="S40" s="671"/>
      <c r="T40" s="671"/>
      <c r="U40" s="675">
        <f>SUM(U41:U42)</f>
        <v>0</v>
      </c>
      <c r="W40" s="629">
        <f>SUM(H40:K40)</f>
        <v>0</v>
      </c>
      <c r="X40" s="629">
        <f>E40-W40</f>
        <v>0</v>
      </c>
      <c r="Y40" s="649">
        <f>U40-W40</f>
        <v>0</v>
      </c>
    </row>
    <row r="41" spans="1:25" ht="18.75" hidden="1" customHeight="1">
      <c r="A41" s="658"/>
      <c r="B41" s="665"/>
      <c r="C41" s="665"/>
      <c r="D41" s="666"/>
      <c r="E41" s="666"/>
      <c r="F41" s="666"/>
      <c r="G41" s="667"/>
      <c r="H41" s="668"/>
      <c r="I41" s="685"/>
      <c r="J41" s="668"/>
      <c r="K41" s="761"/>
      <c r="L41" s="687" t="s">
        <v>330</v>
      </c>
      <c r="M41" s="680"/>
      <c r="N41" s="672">
        <v>0</v>
      </c>
      <c r="O41" s="671" t="s">
        <v>123</v>
      </c>
      <c r="P41" s="673">
        <v>12</v>
      </c>
      <c r="Q41" s="671"/>
      <c r="R41" s="674"/>
      <c r="S41" s="671" t="s">
        <v>153</v>
      </c>
      <c r="T41" s="671"/>
      <c r="U41" s="676">
        <v>0</v>
      </c>
      <c r="Y41" s="649"/>
    </row>
    <row r="42" spans="1:25" ht="18.75" hidden="1" customHeight="1">
      <c r="A42" s="658"/>
      <c r="B42" s="665"/>
      <c r="C42" s="665"/>
      <c r="D42" s="666"/>
      <c r="E42" s="666"/>
      <c r="F42" s="666"/>
      <c r="G42" s="667"/>
      <c r="H42" s="668"/>
      <c r="I42" s="685"/>
      <c r="J42" s="668"/>
      <c r="K42" s="761"/>
      <c r="L42" s="687" t="s">
        <v>223</v>
      </c>
      <c r="M42" s="680"/>
      <c r="N42" s="672">
        <v>0</v>
      </c>
      <c r="O42" s="671" t="s">
        <v>123</v>
      </c>
      <c r="P42" s="673">
        <v>2</v>
      </c>
      <c r="Q42" s="671" t="s">
        <v>123</v>
      </c>
      <c r="R42" s="674">
        <v>10</v>
      </c>
      <c r="S42" s="671" t="s">
        <v>153</v>
      </c>
      <c r="T42" s="671"/>
      <c r="U42" s="676">
        <v>0</v>
      </c>
      <c r="Y42" s="649"/>
    </row>
    <row r="43" spans="1:25" ht="18.75" hidden="1" customHeight="1">
      <c r="A43" s="658"/>
      <c r="B43" s="665"/>
      <c r="C43" s="665" t="s">
        <v>443</v>
      </c>
      <c r="D43" s="666">
        <v>0</v>
      </c>
      <c r="E43" s="666">
        <f>SUM(H43:K43)</f>
        <v>0</v>
      </c>
      <c r="F43" s="666">
        <f>E43-D43</f>
        <v>0</v>
      </c>
      <c r="G43" s="667">
        <v>0</v>
      </c>
      <c r="H43" s="668">
        <v>0</v>
      </c>
      <c r="I43" s="669"/>
      <c r="J43" s="668"/>
      <c r="K43" s="669"/>
      <c r="L43" s="670" t="s">
        <v>338</v>
      </c>
      <c r="M43" s="680"/>
      <c r="N43" s="672"/>
      <c r="O43" s="671"/>
      <c r="P43" s="673"/>
      <c r="Q43" s="671"/>
      <c r="R43" s="674"/>
      <c r="S43" s="671"/>
      <c r="T43" s="671"/>
      <c r="U43" s="675">
        <v>0</v>
      </c>
      <c r="Y43" s="649"/>
    </row>
    <row r="44" spans="1:25" ht="18.75" hidden="1" customHeight="1">
      <c r="A44" s="658"/>
      <c r="B44" s="665"/>
      <c r="C44" s="665"/>
      <c r="D44" s="666"/>
      <c r="E44" s="666"/>
      <c r="F44" s="666"/>
      <c r="G44" s="667"/>
      <c r="H44" s="668"/>
      <c r="I44" s="669"/>
      <c r="J44" s="668"/>
      <c r="K44" s="668"/>
      <c r="L44" s="671"/>
      <c r="M44" s="680"/>
      <c r="N44" s="672"/>
      <c r="O44" s="671"/>
      <c r="P44" s="673"/>
      <c r="Q44" s="671"/>
      <c r="R44" s="674"/>
      <c r="S44" s="671"/>
      <c r="T44" s="671"/>
      <c r="U44" s="675"/>
      <c r="Y44" s="649"/>
    </row>
    <row r="45" spans="1:25" ht="18.75" customHeight="1">
      <c r="A45" s="658"/>
      <c r="B45" s="665"/>
      <c r="C45" s="665" t="s">
        <v>172</v>
      </c>
      <c r="D45" s="666">
        <v>140000</v>
      </c>
      <c r="E45" s="666">
        <f>SUM(H45:K45)</f>
        <v>140000</v>
      </c>
      <c r="F45" s="666">
        <f>E45-D45</f>
        <v>0</v>
      </c>
      <c r="G45" s="667">
        <f t="shared" si="0"/>
        <v>0</v>
      </c>
      <c r="H45" s="668">
        <v>0</v>
      </c>
      <c r="I45" s="668">
        <v>0</v>
      </c>
      <c r="J45" s="668">
        <v>140000</v>
      </c>
      <c r="K45" s="668">
        <v>0</v>
      </c>
      <c r="L45" s="671" t="s">
        <v>337</v>
      </c>
      <c r="M45" s="680"/>
      <c r="N45" s="672"/>
      <c r="O45" s="671"/>
      <c r="P45" s="673"/>
      <c r="Q45" s="671"/>
      <c r="R45" s="674"/>
      <c r="S45" s="671"/>
      <c r="T45" s="671"/>
      <c r="U45" s="675">
        <f>SUM(U46:U47)</f>
        <v>140000</v>
      </c>
      <c r="W45" s="629">
        <f>SUM(H45:K45)</f>
        <v>140000</v>
      </c>
      <c r="X45" s="629">
        <f>E45-W45</f>
        <v>0</v>
      </c>
      <c r="Y45" s="649">
        <f>U45-W45</f>
        <v>0</v>
      </c>
    </row>
    <row r="46" spans="1:25" ht="18.75" customHeight="1">
      <c r="A46" s="658"/>
      <c r="B46" s="665"/>
      <c r="C46" s="665"/>
      <c r="D46" s="666"/>
      <c r="E46" s="666"/>
      <c r="F46" s="666"/>
      <c r="G46" s="667"/>
      <c r="H46" s="668"/>
      <c r="I46" s="669"/>
      <c r="J46" s="668"/>
      <c r="K46" s="668"/>
      <c r="L46" s="687" t="s">
        <v>410</v>
      </c>
      <c r="M46" s="680"/>
      <c r="N46" s="672">
        <f>U46/P46</f>
        <v>25000</v>
      </c>
      <c r="O46" s="671" t="s">
        <v>123</v>
      </c>
      <c r="P46" s="686">
        <v>4</v>
      </c>
      <c r="Q46" s="671"/>
      <c r="R46" s="674"/>
      <c r="S46" s="671" t="s">
        <v>153</v>
      </c>
      <c r="T46" s="671"/>
      <c r="U46" s="676">
        <v>100000</v>
      </c>
      <c r="Y46" s="649"/>
    </row>
    <row r="47" spans="1:25" ht="18.75" customHeight="1">
      <c r="A47" s="658"/>
      <c r="B47" s="665"/>
      <c r="C47" s="665"/>
      <c r="D47" s="666"/>
      <c r="E47" s="666"/>
      <c r="F47" s="666"/>
      <c r="G47" s="667"/>
      <c r="H47" s="668"/>
      <c r="I47" s="669"/>
      <c r="J47" s="668"/>
      <c r="K47" s="668"/>
      <c r="L47" s="687" t="s">
        <v>401</v>
      </c>
      <c r="M47" s="680"/>
      <c r="N47" s="672">
        <f>U47/P47</f>
        <v>20000</v>
      </c>
      <c r="O47" s="671" t="s">
        <v>123</v>
      </c>
      <c r="P47" s="686">
        <v>2</v>
      </c>
      <c r="Q47" s="671"/>
      <c r="R47" s="674"/>
      <c r="S47" s="671" t="s">
        <v>153</v>
      </c>
      <c r="T47" s="671"/>
      <c r="U47" s="676">
        <v>40000</v>
      </c>
      <c r="Y47" s="649"/>
    </row>
    <row r="48" spans="1:25" ht="18.75" customHeight="1">
      <c r="A48" s="658"/>
      <c r="B48" s="659" t="s">
        <v>162</v>
      </c>
      <c r="C48" s="659" t="s">
        <v>164</v>
      </c>
      <c r="D48" s="660">
        <f>SUM(D49:D73)</f>
        <v>10220000</v>
      </c>
      <c r="E48" s="660">
        <f>SUM(E49,E51,E58,E60,E67,E70)</f>
        <v>10220000</v>
      </c>
      <c r="F48" s="660">
        <f>E48-D48</f>
        <v>0</v>
      </c>
      <c r="G48" s="661">
        <f t="shared" si="0"/>
        <v>0</v>
      </c>
      <c r="H48" s="662">
        <f>SUM(H49:H70)</f>
        <v>2600000</v>
      </c>
      <c r="I48" s="662">
        <f>SUM(I49:I70)</f>
        <v>0</v>
      </c>
      <c r="J48" s="662">
        <f>SUM(J49:J70)</f>
        <v>7620000</v>
      </c>
      <c r="K48" s="662">
        <f>SUM(K49:K70)</f>
        <v>0</v>
      </c>
      <c r="L48" s="663"/>
      <c r="M48" s="663"/>
      <c r="N48" s="663"/>
      <c r="O48" s="663"/>
      <c r="P48" s="663"/>
      <c r="Q48" s="663"/>
      <c r="R48" s="663"/>
      <c r="S48" s="663"/>
      <c r="T48" s="663"/>
      <c r="U48" s="664">
        <f>SUM(U49,U51,U58,U60,U67,U70)</f>
        <v>10220000</v>
      </c>
      <c r="W48" s="629">
        <f>SUM(H48:K48)</f>
        <v>10220000</v>
      </c>
      <c r="X48" s="629">
        <f>E48-W48</f>
        <v>0</v>
      </c>
      <c r="Y48" s="649">
        <f>U48-W48</f>
        <v>0</v>
      </c>
    </row>
    <row r="49" spans="1:25" ht="18.75" hidden="1" customHeight="1">
      <c r="A49" s="658"/>
      <c r="B49" s="665"/>
      <c r="C49" s="665" t="s">
        <v>147</v>
      </c>
      <c r="D49" s="666">
        <v>0</v>
      </c>
      <c r="E49" s="666">
        <f>SUM(H49:K49)</f>
        <v>0</v>
      </c>
      <c r="F49" s="666">
        <f>E49-D49</f>
        <v>0</v>
      </c>
      <c r="G49" s="667">
        <v>0</v>
      </c>
      <c r="H49" s="668">
        <v>0</v>
      </c>
      <c r="I49" s="668">
        <v>0</v>
      </c>
      <c r="J49" s="668">
        <v>0</v>
      </c>
      <c r="K49" s="668">
        <v>0</v>
      </c>
      <c r="L49" s="671" t="s">
        <v>97</v>
      </c>
      <c r="M49" s="671"/>
      <c r="N49" s="672"/>
      <c r="O49" s="671"/>
      <c r="P49" s="673"/>
      <c r="Q49" s="671"/>
      <c r="R49" s="674"/>
      <c r="S49" s="671"/>
      <c r="T49" s="671"/>
      <c r="U49" s="675">
        <f>E49</f>
        <v>0</v>
      </c>
      <c r="W49" s="629">
        <f>SUM(H49:K49)</f>
        <v>0</v>
      </c>
      <c r="X49" s="629">
        <f>E49-W49</f>
        <v>0</v>
      </c>
      <c r="Y49" s="649">
        <f>U49-W49</f>
        <v>0</v>
      </c>
    </row>
    <row r="50" spans="1:25" ht="18.75" hidden="1" customHeight="1">
      <c r="A50" s="658"/>
      <c r="B50" s="665"/>
      <c r="C50" s="665"/>
      <c r="D50" s="666"/>
      <c r="E50" s="666"/>
      <c r="F50" s="666"/>
      <c r="G50" s="667"/>
      <c r="H50" s="668"/>
      <c r="I50" s="668"/>
      <c r="J50" s="668"/>
      <c r="K50" s="668"/>
      <c r="L50" s="687" t="s">
        <v>333</v>
      </c>
      <c r="M50" s="671"/>
      <c r="N50" s="672">
        <v>0</v>
      </c>
      <c r="O50" s="671" t="s">
        <v>123</v>
      </c>
      <c r="P50" s="686">
        <v>10</v>
      </c>
      <c r="Q50" s="671" t="s">
        <v>123</v>
      </c>
      <c r="R50" s="674">
        <v>5</v>
      </c>
      <c r="S50" s="671" t="s">
        <v>153</v>
      </c>
      <c r="T50" s="671"/>
      <c r="U50" s="676">
        <v>0</v>
      </c>
      <c r="Y50" s="649"/>
    </row>
    <row r="51" spans="1:25" ht="18.75" customHeight="1">
      <c r="A51" s="658"/>
      <c r="B51" s="665"/>
      <c r="C51" s="665" t="s">
        <v>458</v>
      </c>
      <c r="D51" s="666">
        <v>3900000</v>
      </c>
      <c r="E51" s="666">
        <f>SUM(H51:K51)</f>
        <v>3900000</v>
      </c>
      <c r="F51" s="666">
        <f t="shared" ref="F51:F70" si="3">E51-D51</f>
        <v>0</v>
      </c>
      <c r="G51" s="667">
        <f t="shared" si="0"/>
        <v>0</v>
      </c>
      <c r="H51" s="668">
        <v>800000</v>
      </c>
      <c r="I51" s="668">
        <v>0</v>
      </c>
      <c r="J51" s="668">
        <v>3100000</v>
      </c>
      <c r="K51" s="668">
        <v>0</v>
      </c>
      <c r="L51" s="671" t="s">
        <v>250</v>
      </c>
      <c r="M51" s="671"/>
      <c r="N51" s="672"/>
      <c r="O51" s="671"/>
      <c r="P51" s="673"/>
      <c r="Q51" s="671"/>
      <c r="R51" s="674"/>
      <c r="S51" s="671"/>
      <c r="T51" s="671"/>
      <c r="U51" s="675">
        <f>SUM(U52:U57)</f>
        <v>3900000</v>
      </c>
      <c r="W51" s="629">
        <f>SUM(H51:K51)</f>
        <v>3900000</v>
      </c>
      <c r="X51" s="629">
        <f>E51-W51</f>
        <v>0</v>
      </c>
      <c r="Y51" s="649">
        <f>U51-W51</f>
        <v>0</v>
      </c>
    </row>
    <row r="52" spans="1:25" ht="18.75" customHeight="1">
      <c r="A52" s="658"/>
      <c r="B52" s="665"/>
      <c r="C52" s="665"/>
      <c r="D52" s="666"/>
      <c r="E52" s="666"/>
      <c r="F52" s="666"/>
      <c r="G52" s="667"/>
      <c r="H52" s="668"/>
      <c r="I52" s="668"/>
      <c r="J52" s="668"/>
      <c r="K52" s="668"/>
      <c r="L52" s="687" t="s">
        <v>402</v>
      </c>
      <c r="M52" s="671"/>
      <c r="N52" s="672">
        <f t="shared" ref="N52:N57" si="4">U52/P52</f>
        <v>100000</v>
      </c>
      <c r="O52" s="671" t="s">
        <v>123</v>
      </c>
      <c r="P52" s="686">
        <v>12</v>
      </c>
      <c r="Q52" s="671"/>
      <c r="R52" s="674"/>
      <c r="S52" s="671" t="s">
        <v>153</v>
      </c>
      <c r="T52" s="671"/>
      <c r="U52" s="676">
        <v>1200000</v>
      </c>
      <c r="Y52" s="649"/>
    </row>
    <row r="53" spans="1:25" ht="18.75" customHeight="1">
      <c r="A53" s="658"/>
      <c r="B53" s="665"/>
      <c r="C53" s="665"/>
      <c r="D53" s="666"/>
      <c r="E53" s="666"/>
      <c r="F53" s="666"/>
      <c r="G53" s="667"/>
      <c r="H53" s="668"/>
      <c r="I53" s="668"/>
      <c r="J53" s="668"/>
      <c r="K53" s="668"/>
      <c r="L53" s="687" t="s">
        <v>256</v>
      </c>
      <c r="M53" s="671"/>
      <c r="N53" s="672">
        <f t="shared" si="4"/>
        <v>85000</v>
      </c>
      <c r="O53" s="671" t="s">
        <v>123</v>
      </c>
      <c r="P53" s="673">
        <v>12</v>
      </c>
      <c r="Q53" s="671"/>
      <c r="R53" s="674"/>
      <c r="S53" s="671" t="s">
        <v>153</v>
      </c>
      <c r="T53" s="671"/>
      <c r="U53" s="676">
        <v>1020000</v>
      </c>
      <c r="Y53" s="649"/>
    </row>
    <row r="54" spans="1:25" ht="18.75" customHeight="1">
      <c r="A54" s="658"/>
      <c r="B54" s="665"/>
      <c r="C54" s="665"/>
      <c r="D54" s="666"/>
      <c r="E54" s="666"/>
      <c r="F54" s="666"/>
      <c r="G54" s="667"/>
      <c r="H54" s="668"/>
      <c r="I54" s="668"/>
      <c r="J54" s="668"/>
      <c r="K54" s="668"/>
      <c r="L54" s="687" t="s">
        <v>268</v>
      </c>
      <c r="M54" s="671"/>
      <c r="N54" s="672">
        <f t="shared" si="4"/>
        <v>80000</v>
      </c>
      <c r="O54" s="671" t="s">
        <v>123</v>
      </c>
      <c r="P54" s="673">
        <v>12</v>
      </c>
      <c r="Q54" s="671"/>
      <c r="R54" s="753"/>
      <c r="S54" s="671" t="s">
        <v>153</v>
      </c>
      <c r="T54" s="671"/>
      <c r="U54" s="676">
        <v>960000</v>
      </c>
      <c r="Y54" s="649"/>
    </row>
    <row r="55" spans="1:25" ht="18.75" customHeight="1">
      <c r="A55" s="658"/>
      <c r="B55" s="665"/>
      <c r="C55" s="665"/>
      <c r="D55" s="666"/>
      <c r="E55" s="666"/>
      <c r="F55" s="666"/>
      <c r="G55" s="667"/>
      <c r="H55" s="668"/>
      <c r="I55" s="668"/>
      <c r="J55" s="668"/>
      <c r="K55" s="668"/>
      <c r="L55" s="687" t="s">
        <v>397</v>
      </c>
      <c r="M55" s="671"/>
      <c r="N55" s="672">
        <f t="shared" si="4"/>
        <v>40000</v>
      </c>
      <c r="O55" s="671" t="s">
        <v>123</v>
      </c>
      <c r="P55" s="673">
        <v>12</v>
      </c>
      <c r="Q55" s="671"/>
      <c r="R55" s="674"/>
      <c r="S55" s="671" t="s">
        <v>153</v>
      </c>
      <c r="T55" s="671"/>
      <c r="U55" s="676">
        <v>480000</v>
      </c>
      <c r="Y55" s="649"/>
    </row>
    <row r="56" spans="1:25" ht="18.75" customHeight="1">
      <c r="A56" s="658"/>
      <c r="B56" s="665"/>
      <c r="C56" s="665"/>
      <c r="D56" s="666"/>
      <c r="E56" s="666"/>
      <c r="F56" s="666"/>
      <c r="G56" s="667"/>
      <c r="H56" s="668"/>
      <c r="I56" s="668"/>
      <c r="J56" s="668"/>
      <c r="K56" s="668"/>
      <c r="L56" s="687" t="s">
        <v>400</v>
      </c>
      <c r="M56" s="671"/>
      <c r="N56" s="672">
        <f t="shared" si="4"/>
        <v>10000</v>
      </c>
      <c r="O56" s="671" t="s">
        <v>123</v>
      </c>
      <c r="P56" s="673">
        <v>12</v>
      </c>
      <c r="Q56" s="671"/>
      <c r="R56" s="674"/>
      <c r="S56" s="671" t="s">
        <v>153</v>
      </c>
      <c r="T56" s="671"/>
      <c r="U56" s="676">
        <v>120000</v>
      </c>
      <c r="Y56" s="649"/>
    </row>
    <row r="57" spans="1:25" ht="18.75" customHeight="1">
      <c r="A57" s="658"/>
      <c r="B57" s="665"/>
      <c r="C57" s="665"/>
      <c r="D57" s="666"/>
      <c r="E57" s="666"/>
      <c r="F57" s="666"/>
      <c r="G57" s="667"/>
      <c r="H57" s="668"/>
      <c r="I57" s="668"/>
      <c r="J57" s="668"/>
      <c r="K57" s="668"/>
      <c r="L57" s="687" t="s">
        <v>263</v>
      </c>
      <c r="M57" s="671"/>
      <c r="N57" s="672">
        <f t="shared" si="4"/>
        <v>10000</v>
      </c>
      <c r="O57" s="671" t="s">
        <v>123</v>
      </c>
      <c r="P57" s="673">
        <v>12</v>
      </c>
      <c r="Q57" s="671"/>
      <c r="R57" s="674"/>
      <c r="S57" s="671" t="s">
        <v>153</v>
      </c>
      <c r="T57" s="671"/>
      <c r="U57" s="676">
        <v>120000</v>
      </c>
      <c r="Y57" s="649"/>
    </row>
    <row r="58" spans="1:25" ht="18.75" customHeight="1">
      <c r="A58" s="658"/>
      <c r="B58" s="665"/>
      <c r="C58" s="665" t="s">
        <v>445</v>
      </c>
      <c r="D58" s="666">
        <v>5400000</v>
      </c>
      <c r="E58" s="666">
        <f>SUM(H58:K58)</f>
        <v>5400000</v>
      </c>
      <c r="F58" s="666">
        <f t="shared" si="3"/>
        <v>0</v>
      </c>
      <c r="G58" s="667">
        <f t="shared" si="0"/>
        <v>0</v>
      </c>
      <c r="H58" s="668">
        <v>1800000</v>
      </c>
      <c r="I58" s="668">
        <v>0</v>
      </c>
      <c r="J58" s="668">
        <v>3600000</v>
      </c>
      <c r="K58" s="668">
        <v>0</v>
      </c>
      <c r="L58" s="671" t="s">
        <v>359</v>
      </c>
      <c r="M58" s="671"/>
      <c r="N58" s="672"/>
      <c r="O58" s="671"/>
      <c r="P58" s="673"/>
      <c r="Q58" s="671"/>
      <c r="R58" s="674"/>
      <c r="S58" s="671"/>
      <c r="T58" s="671"/>
      <c r="U58" s="675">
        <f>SUM(U59:U59)</f>
        <v>5400000</v>
      </c>
      <c r="W58" s="629">
        <f>SUM(H58:K58)</f>
        <v>5400000</v>
      </c>
      <c r="X58" s="629">
        <f>E58-W58</f>
        <v>0</v>
      </c>
      <c r="Y58" s="649">
        <f>U58-W58</f>
        <v>0</v>
      </c>
    </row>
    <row r="59" spans="1:25" ht="18.75" customHeight="1">
      <c r="A59" s="658"/>
      <c r="B59" s="665"/>
      <c r="C59" s="665"/>
      <c r="D59" s="666"/>
      <c r="E59" s="666"/>
      <c r="F59" s="666"/>
      <c r="G59" s="667"/>
      <c r="H59" s="668"/>
      <c r="I59" s="668"/>
      <c r="J59" s="668"/>
      <c r="K59" s="668"/>
      <c r="L59" s="687" t="s">
        <v>262</v>
      </c>
      <c r="M59" s="671"/>
      <c r="N59" s="672">
        <f>U59/P59</f>
        <v>450000</v>
      </c>
      <c r="O59" s="671" t="s">
        <v>123</v>
      </c>
      <c r="P59" s="673">
        <v>12</v>
      </c>
      <c r="Q59" s="671"/>
      <c r="R59" s="674"/>
      <c r="S59" s="671" t="s">
        <v>153</v>
      </c>
      <c r="T59" s="671"/>
      <c r="U59" s="676">
        <v>5400000</v>
      </c>
      <c r="Y59" s="649"/>
    </row>
    <row r="60" spans="1:25" ht="18.75" hidden="1" customHeight="1">
      <c r="A60" s="658"/>
      <c r="B60" s="665"/>
      <c r="C60" s="665" t="s">
        <v>429</v>
      </c>
      <c r="D60" s="666">
        <v>0</v>
      </c>
      <c r="E60" s="666">
        <f>SUM(H60:K60)</f>
        <v>0</v>
      </c>
      <c r="F60" s="666">
        <f t="shared" si="3"/>
        <v>0</v>
      </c>
      <c r="G60" s="667">
        <v>0</v>
      </c>
      <c r="H60" s="668">
        <v>0</v>
      </c>
      <c r="I60" s="668">
        <v>0</v>
      </c>
      <c r="J60" s="668">
        <v>0</v>
      </c>
      <c r="K60" s="668">
        <v>0</v>
      </c>
      <c r="L60" s="671" t="s">
        <v>347</v>
      </c>
      <c r="M60" s="671"/>
      <c r="N60" s="672"/>
      <c r="O60" s="671"/>
      <c r="P60" s="673"/>
      <c r="Q60" s="671"/>
      <c r="R60" s="674"/>
      <c r="S60" s="671"/>
      <c r="T60" s="671"/>
      <c r="U60" s="675">
        <f>SUM(U61:U66)</f>
        <v>0</v>
      </c>
      <c r="W60" s="629">
        <f>SUM(H60:K60)</f>
        <v>0</v>
      </c>
      <c r="X60" s="629">
        <f>E60-W60</f>
        <v>0</v>
      </c>
      <c r="Y60" s="649">
        <f>U60-W60</f>
        <v>0</v>
      </c>
    </row>
    <row r="61" spans="1:25" ht="18.75" hidden="1" customHeight="1">
      <c r="A61" s="658"/>
      <c r="B61" s="665"/>
      <c r="C61" s="665"/>
      <c r="D61" s="666"/>
      <c r="E61" s="666"/>
      <c r="F61" s="666"/>
      <c r="G61" s="667"/>
      <c r="H61" s="668"/>
      <c r="I61" s="668"/>
      <c r="J61" s="668"/>
      <c r="K61" s="668"/>
      <c r="L61" s="677" t="s">
        <v>382</v>
      </c>
      <c r="M61" s="671"/>
      <c r="N61" s="672">
        <v>0</v>
      </c>
      <c r="O61" s="671" t="s">
        <v>123</v>
      </c>
      <c r="P61" s="686">
        <v>1</v>
      </c>
      <c r="Q61" s="671"/>
      <c r="R61" s="674"/>
      <c r="S61" s="671" t="s">
        <v>153</v>
      </c>
      <c r="T61" s="671"/>
      <c r="U61" s="676">
        <v>0</v>
      </c>
      <c r="Y61" s="649"/>
    </row>
    <row r="62" spans="1:25" ht="18.75" hidden="1" customHeight="1">
      <c r="A62" s="658"/>
      <c r="B62" s="665"/>
      <c r="C62" s="665"/>
      <c r="D62" s="666"/>
      <c r="E62" s="666"/>
      <c r="F62" s="666"/>
      <c r="G62" s="667"/>
      <c r="H62" s="668"/>
      <c r="I62" s="668"/>
      <c r="J62" s="668"/>
      <c r="K62" s="668"/>
      <c r="L62" s="677" t="s">
        <v>233</v>
      </c>
      <c r="M62" s="671"/>
      <c r="N62" s="672">
        <v>0</v>
      </c>
      <c r="O62" s="671" t="s">
        <v>123</v>
      </c>
      <c r="P62" s="686">
        <v>1</v>
      </c>
      <c r="Q62" s="671"/>
      <c r="R62" s="674"/>
      <c r="S62" s="671" t="s">
        <v>153</v>
      </c>
      <c r="T62" s="671"/>
      <c r="U62" s="676">
        <v>0</v>
      </c>
      <c r="Y62" s="649"/>
    </row>
    <row r="63" spans="1:25" ht="18.75" hidden="1" customHeight="1">
      <c r="A63" s="658"/>
      <c r="B63" s="665"/>
      <c r="C63" s="665"/>
      <c r="D63" s="666"/>
      <c r="E63" s="666"/>
      <c r="F63" s="666"/>
      <c r="G63" s="667"/>
      <c r="H63" s="668"/>
      <c r="I63" s="668"/>
      <c r="K63" s="668"/>
      <c r="L63" s="677" t="s">
        <v>377</v>
      </c>
      <c r="M63" s="671"/>
      <c r="N63" s="672">
        <v>0</v>
      </c>
      <c r="O63" s="671" t="s">
        <v>123</v>
      </c>
      <c r="P63" s="686">
        <v>1</v>
      </c>
      <c r="Q63" s="671"/>
      <c r="R63" s="674"/>
      <c r="S63" s="671" t="s">
        <v>153</v>
      </c>
      <c r="T63" s="671"/>
      <c r="U63" s="676">
        <v>0</v>
      </c>
      <c r="Y63" s="649"/>
    </row>
    <row r="64" spans="1:25" ht="18.75" hidden="1" customHeight="1">
      <c r="A64" s="658"/>
      <c r="B64" s="665"/>
      <c r="C64" s="665"/>
      <c r="D64" s="666"/>
      <c r="E64" s="666"/>
      <c r="F64" s="666"/>
      <c r="G64" s="667"/>
      <c r="H64" s="668"/>
      <c r="I64" s="668"/>
      <c r="J64" s="668"/>
      <c r="K64" s="668"/>
      <c r="L64" s="677" t="s">
        <v>352</v>
      </c>
      <c r="M64" s="671"/>
      <c r="N64" s="672">
        <v>0</v>
      </c>
      <c r="O64" s="671" t="s">
        <v>123</v>
      </c>
      <c r="P64" s="686">
        <v>1</v>
      </c>
      <c r="Q64" s="671"/>
      <c r="R64" s="674"/>
      <c r="S64" s="671" t="s">
        <v>153</v>
      </c>
      <c r="T64" s="671"/>
      <c r="U64" s="676">
        <v>0</v>
      </c>
      <c r="Y64" s="649"/>
    </row>
    <row r="65" spans="1:25" ht="18.75" hidden="1" customHeight="1">
      <c r="A65" s="658"/>
      <c r="B65" s="665"/>
      <c r="C65" s="665"/>
      <c r="D65" s="666"/>
      <c r="E65" s="666"/>
      <c r="F65" s="666"/>
      <c r="G65" s="667"/>
      <c r="H65" s="668"/>
      <c r="I65" s="668"/>
      <c r="J65" s="668"/>
      <c r="K65" s="668"/>
      <c r="L65" s="677" t="s">
        <v>379</v>
      </c>
      <c r="M65" s="671"/>
      <c r="N65" s="672">
        <v>0</v>
      </c>
      <c r="O65" s="671" t="s">
        <v>123</v>
      </c>
      <c r="P65" s="686">
        <v>1</v>
      </c>
      <c r="Q65" s="671"/>
      <c r="R65" s="674">
        <v>10</v>
      </c>
      <c r="S65" s="671" t="s">
        <v>153</v>
      </c>
      <c r="T65" s="671"/>
      <c r="U65" s="676">
        <v>0</v>
      </c>
      <c r="Y65" s="649"/>
    </row>
    <row r="66" spans="1:25" ht="18.75" hidden="1" customHeight="1">
      <c r="A66" s="658"/>
      <c r="B66" s="665"/>
      <c r="C66" s="665"/>
      <c r="D66" s="666"/>
      <c r="E66" s="666"/>
      <c r="F66" s="666"/>
      <c r="G66" s="667"/>
      <c r="H66" s="668"/>
      <c r="I66" s="668"/>
      <c r="J66" s="668"/>
      <c r="K66" s="668"/>
      <c r="L66" s="677" t="s">
        <v>244</v>
      </c>
      <c r="M66" s="671"/>
      <c r="N66" s="672">
        <v>0</v>
      </c>
      <c r="O66" s="671" t="s">
        <v>123</v>
      </c>
      <c r="P66" s="686">
        <v>2</v>
      </c>
      <c r="Q66" s="671"/>
      <c r="R66" s="674"/>
      <c r="S66" s="671" t="s">
        <v>153</v>
      </c>
      <c r="T66" s="671"/>
      <c r="U66" s="676">
        <v>0</v>
      </c>
      <c r="Y66" s="649"/>
    </row>
    <row r="67" spans="1:25" ht="18.75" customHeight="1">
      <c r="A67" s="658"/>
      <c r="B67" s="665"/>
      <c r="C67" s="665" t="s">
        <v>128</v>
      </c>
      <c r="D67" s="666">
        <v>920000</v>
      </c>
      <c r="E67" s="666">
        <f>SUM(H67:K67)</f>
        <v>920000</v>
      </c>
      <c r="F67" s="666">
        <f t="shared" si="3"/>
        <v>0</v>
      </c>
      <c r="G67" s="667">
        <f t="shared" si="0"/>
        <v>0</v>
      </c>
      <c r="H67" s="668">
        <v>0</v>
      </c>
      <c r="I67" s="668">
        <v>0</v>
      </c>
      <c r="J67" s="668">
        <v>920000</v>
      </c>
      <c r="K67" s="668">
        <v>0</v>
      </c>
      <c r="L67" s="671" t="s">
        <v>305</v>
      </c>
      <c r="M67" s="680"/>
      <c r="N67" s="672"/>
      <c r="O67" s="671"/>
      <c r="P67" s="673"/>
      <c r="Q67" s="671"/>
      <c r="R67" s="674"/>
      <c r="S67" s="671"/>
      <c r="T67" s="671"/>
      <c r="U67" s="675">
        <f>SUM(U68:U69)</f>
        <v>920000</v>
      </c>
      <c r="W67" s="629">
        <f>SUM(H67:K67)</f>
        <v>920000</v>
      </c>
      <c r="X67" s="629">
        <f>E67-W67</f>
        <v>0</v>
      </c>
      <c r="Y67" s="649">
        <f>U67-W67</f>
        <v>0</v>
      </c>
    </row>
    <row r="68" spans="1:25" ht="18.75" customHeight="1">
      <c r="A68" s="658"/>
      <c r="B68" s="665"/>
      <c r="C68" s="665"/>
      <c r="D68" s="666"/>
      <c r="E68" s="666"/>
      <c r="F68" s="666"/>
      <c r="G68" s="667"/>
      <c r="H68" s="668"/>
      <c r="I68" s="668"/>
      <c r="J68" s="668"/>
      <c r="K68" s="668"/>
      <c r="L68" s="687" t="s">
        <v>28</v>
      </c>
      <c r="M68" s="680"/>
      <c r="N68" s="672">
        <f>U68/P68</f>
        <v>64000</v>
      </c>
      <c r="O68" s="671" t="s">
        <v>123</v>
      </c>
      <c r="P68" s="686">
        <v>5</v>
      </c>
      <c r="Q68" s="671"/>
      <c r="R68" s="674"/>
      <c r="S68" s="671" t="s">
        <v>153</v>
      </c>
      <c r="T68" s="671"/>
      <c r="U68" s="676">
        <v>320000</v>
      </c>
      <c r="Y68" s="649"/>
    </row>
    <row r="69" spans="1:25" ht="18.75" customHeight="1">
      <c r="A69" s="658"/>
      <c r="B69" s="665"/>
      <c r="C69" s="665"/>
      <c r="D69" s="666"/>
      <c r="E69" s="666"/>
      <c r="F69" s="666"/>
      <c r="G69" s="667"/>
      <c r="H69" s="668"/>
      <c r="I69" s="668"/>
      <c r="J69" s="668"/>
      <c r="K69" s="668"/>
      <c r="L69" s="687" t="s">
        <v>326</v>
      </c>
      <c r="M69" s="680"/>
      <c r="N69" s="672">
        <f>U69/P69</f>
        <v>30000</v>
      </c>
      <c r="O69" s="671" t="s">
        <v>123</v>
      </c>
      <c r="P69" s="686">
        <v>20</v>
      </c>
      <c r="Q69" s="671"/>
      <c r="R69" s="674"/>
      <c r="S69" s="671" t="s">
        <v>153</v>
      </c>
      <c r="T69" s="671"/>
      <c r="U69" s="676">
        <v>600000</v>
      </c>
      <c r="Y69" s="649"/>
    </row>
    <row r="70" spans="1:25" ht="18.75" hidden="1" customHeight="1">
      <c r="A70" s="658"/>
      <c r="B70" s="665"/>
      <c r="C70" s="665" t="s">
        <v>493</v>
      </c>
      <c r="D70" s="666">
        <v>0</v>
      </c>
      <c r="E70" s="666">
        <f>SUM(H70:K70)</f>
        <v>0</v>
      </c>
      <c r="F70" s="666">
        <f t="shared" si="3"/>
        <v>0</v>
      </c>
      <c r="G70" s="667">
        <v>0</v>
      </c>
      <c r="H70" s="668">
        <v>0</v>
      </c>
      <c r="I70" s="668">
        <v>0</v>
      </c>
      <c r="J70" s="668">
        <v>0</v>
      </c>
      <c r="K70" s="668">
        <v>0</v>
      </c>
      <c r="L70" s="671" t="s">
        <v>304</v>
      </c>
      <c r="M70" s="671"/>
      <c r="N70" s="672"/>
      <c r="O70" s="671"/>
      <c r="P70" s="673"/>
      <c r="Q70" s="671"/>
      <c r="R70" s="674"/>
      <c r="S70" s="671"/>
      <c r="T70" s="671"/>
      <c r="U70" s="675">
        <f>SUM(U71:U73)</f>
        <v>0</v>
      </c>
      <c r="W70" s="629">
        <f>SUM(H70:K70)</f>
        <v>0</v>
      </c>
      <c r="X70" s="629">
        <f>E70-W70</f>
        <v>0</v>
      </c>
      <c r="Y70" s="649">
        <f>U70-W70</f>
        <v>0</v>
      </c>
    </row>
    <row r="71" spans="1:25" ht="18.75" hidden="1" customHeight="1">
      <c r="A71" s="658"/>
      <c r="B71" s="665"/>
      <c r="C71" s="665"/>
      <c r="D71" s="666"/>
      <c r="E71" s="666"/>
      <c r="F71" s="666"/>
      <c r="G71" s="667"/>
      <c r="H71" s="668"/>
      <c r="I71" s="668"/>
      <c r="J71" s="668"/>
      <c r="K71" s="668"/>
      <c r="L71" s="687" t="s">
        <v>385</v>
      </c>
      <c r="M71" s="671"/>
      <c r="N71" s="672">
        <v>0</v>
      </c>
      <c r="O71" s="671" t="s">
        <v>123</v>
      </c>
      <c r="P71" s="686">
        <v>2</v>
      </c>
      <c r="Q71" s="671" t="s">
        <v>123</v>
      </c>
      <c r="R71" s="674">
        <v>16</v>
      </c>
      <c r="S71" s="671" t="s">
        <v>153</v>
      </c>
      <c r="T71" s="671"/>
      <c r="U71" s="676">
        <v>0</v>
      </c>
      <c r="Y71" s="649"/>
    </row>
    <row r="72" spans="1:25" ht="18.75" hidden="1" customHeight="1">
      <c r="A72" s="658"/>
      <c r="B72" s="665"/>
      <c r="C72" s="665"/>
      <c r="D72" s="666"/>
      <c r="E72" s="666"/>
      <c r="F72" s="666"/>
      <c r="G72" s="667"/>
      <c r="H72" s="668"/>
      <c r="I72" s="668"/>
      <c r="J72" s="668"/>
      <c r="K72" s="668"/>
      <c r="L72" s="687" t="s">
        <v>86</v>
      </c>
      <c r="M72" s="671"/>
      <c r="N72" s="672">
        <v>0</v>
      </c>
      <c r="O72" s="671" t="s">
        <v>123</v>
      </c>
      <c r="P72" s="686">
        <v>10</v>
      </c>
      <c r="Q72" s="671" t="s">
        <v>123</v>
      </c>
      <c r="R72" s="674">
        <v>8</v>
      </c>
      <c r="S72" s="671" t="s">
        <v>153</v>
      </c>
      <c r="T72" s="671"/>
      <c r="U72" s="676">
        <v>0</v>
      </c>
      <c r="Y72" s="649"/>
    </row>
    <row r="73" spans="1:25" ht="18.75" hidden="1" customHeight="1">
      <c r="A73" s="658"/>
      <c r="B73" s="665"/>
      <c r="C73" s="665"/>
      <c r="D73" s="666"/>
      <c r="E73" s="666"/>
      <c r="F73" s="666"/>
      <c r="G73" s="667"/>
      <c r="H73" s="668"/>
      <c r="I73" s="668"/>
      <c r="J73" s="668"/>
      <c r="K73" s="668"/>
      <c r="L73" s="687" t="s">
        <v>493</v>
      </c>
      <c r="M73" s="671"/>
      <c r="N73" s="672">
        <v>0</v>
      </c>
      <c r="O73" s="671" t="s">
        <v>123</v>
      </c>
      <c r="P73" s="686">
        <v>4</v>
      </c>
      <c r="Q73" s="671"/>
      <c r="R73" s="674"/>
      <c r="S73" s="671" t="s">
        <v>153</v>
      </c>
      <c r="T73" s="671"/>
      <c r="U73" s="676">
        <v>0</v>
      </c>
      <c r="Y73" s="649"/>
    </row>
    <row r="74" spans="1:25" ht="18.75" customHeight="1">
      <c r="A74" s="688" t="s">
        <v>449</v>
      </c>
      <c r="B74" s="689" t="s">
        <v>114</v>
      </c>
      <c r="C74" s="689"/>
      <c r="D74" s="690">
        <f>D75</f>
        <v>2250000</v>
      </c>
      <c r="E74" s="690">
        <f>E75</f>
        <v>2250000</v>
      </c>
      <c r="F74" s="690">
        <f>E74-D74</f>
        <v>0</v>
      </c>
      <c r="G74" s="691">
        <f t="shared" si="0"/>
        <v>0</v>
      </c>
      <c r="H74" s="692">
        <f>H75</f>
        <v>440000</v>
      </c>
      <c r="I74" s="692">
        <f t="shared" ref="I74:K74" si="5">I75</f>
        <v>0</v>
      </c>
      <c r="J74" s="692">
        <f t="shared" si="5"/>
        <v>1810000</v>
      </c>
      <c r="K74" s="692">
        <f t="shared" si="5"/>
        <v>0</v>
      </c>
      <c r="L74" s="656"/>
      <c r="M74" s="656"/>
      <c r="N74" s="656"/>
      <c r="O74" s="656"/>
      <c r="P74" s="656"/>
      <c r="Q74" s="656"/>
      <c r="R74" s="656"/>
      <c r="S74" s="656"/>
      <c r="T74" s="656"/>
      <c r="U74" s="657">
        <f>U75</f>
        <v>2250000</v>
      </c>
      <c r="W74" s="629">
        <f>SUM(H74:K74)</f>
        <v>2250000</v>
      </c>
      <c r="X74" s="629">
        <f>E74-W74</f>
        <v>0</v>
      </c>
      <c r="Y74" s="649">
        <f>U74-W74</f>
        <v>0</v>
      </c>
    </row>
    <row r="75" spans="1:25" ht="18.75" customHeight="1">
      <c r="A75" s="658"/>
      <c r="B75" s="659" t="s">
        <v>139</v>
      </c>
      <c r="C75" s="659" t="s">
        <v>164</v>
      </c>
      <c r="D75" s="660">
        <f>SUM(D84:D89)</f>
        <v>2250000</v>
      </c>
      <c r="E75" s="660">
        <f>SUM(E77,E84)</f>
        <v>2250000</v>
      </c>
      <c r="F75" s="660">
        <f>E75-D75</f>
        <v>0</v>
      </c>
      <c r="G75" s="661">
        <f t="shared" si="0"/>
        <v>0</v>
      </c>
      <c r="H75" s="662">
        <f>SUM(H76:H84)</f>
        <v>440000</v>
      </c>
      <c r="I75" s="662">
        <f>SUM(I76:I84)</f>
        <v>0</v>
      </c>
      <c r="J75" s="662">
        <f>SUM(J77,J84)</f>
        <v>1810000</v>
      </c>
      <c r="K75" s="662">
        <f>SUM(K77,K84)</f>
        <v>0</v>
      </c>
      <c r="L75" s="663"/>
      <c r="M75" s="663"/>
      <c r="N75" s="663"/>
      <c r="O75" s="663"/>
      <c r="P75" s="663"/>
      <c r="Q75" s="663"/>
      <c r="R75" s="663"/>
      <c r="S75" s="663"/>
      <c r="T75" s="663"/>
      <c r="U75" s="664">
        <f>SUM(U76,U77,U84)</f>
        <v>2250000</v>
      </c>
      <c r="W75" s="629">
        <f>SUM(H75:K75)</f>
        <v>2250000</v>
      </c>
      <c r="X75" s="629">
        <f>E75-W75</f>
        <v>0</v>
      </c>
      <c r="Y75" s="649">
        <f>U75-W75</f>
        <v>0</v>
      </c>
    </row>
    <row r="76" spans="1:25" ht="18.75" hidden="1" customHeight="1">
      <c r="A76" s="658"/>
      <c r="B76" s="665"/>
      <c r="C76" s="665" t="s">
        <v>139</v>
      </c>
      <c r="D76" s="666">
        <v>0</v>
      </c>
      <c r="E76" s="666">
        <f>SUM(H76:K76)</f>
        <v>0</v>
      </c>
      <c r="F76" s="666">
        <f t="shared" ref="F76:F84" si="6">E76-D76</f>
        <v>0</v>
      </c>
      <c r="G76" s="667">
        <v>0</v>
      </c>
      <c r="H76" s="668">
        <v>0</v>
      </c>
      <c r="I76" s="668">
        <v>0</v>
      </c>
      <c r="J76" s="668">
        <v>0</v>
      </c>
      <c r="K76" s="668">
        <v>0</v>
      </c>
      <c r="L76" s="671" t="s">
        <v>308</v>
      </c>
      <c r="M76" s="671"/>
      <c r="N76" s="672"/>
      <c r="O76" s="671"/>
      <c r="P76" s="673"/>
      <c r="Q76" s="671"/>
      <c r="R76" s="674"/>
      <c r="S76" s="671"/>
      <c r="T76" s="671"/>
      <c r="U76" s="675">
        <f>E76</f>
        <v>0</v>
      </c>
      <c r="W76" s="629">
        <f>SUM(H76:K76)</f>
        <v>0</v>
      </c>
      <c r="X76" s="629">
        <f>E76-W76</f>
        <v>0</v>
      </c>
      <c r="Y76" s="649">
        <f>U76-W76</f>
        <v>0</v>
      </c>
    </row>
    <row r="77" spans="1:25" ht="18.75" hidden="1" customHeight="1">
      <c r="A77" s="658"/>
      <c r="B77" s="665"/>
      <c r="C77" s="665" t="s">
        <v>473</v>
      </c>
      <c r="D77" s="666">
        <v>0</v>
      </c>
      <c r="E77" s="666">
        <f>SUM(H77:K77)</f>
        <v>0</v>
      </c>
      <c r="F77" s="666">
        <f t="shared" si="6"/>
        <v>0</v>
      </c>
      <c r="G77" s="667">
        <v>0</v>
      </c>
      <c r="H77" s="668">
        <v>0</v>
      </c>
      <c r="I77" s="668">
        <v>0</v>
      </c>
      <c r="J77" s="668">
        <v>0</v>
      </c>
      <c r="K77" s="668">
        <v>0</v>
      </c>
      <c r="L77" s="671" t="s">
        <v>321</v>
      </c>
      <c r="M77" s="671"/>
      <c r="N77" s="672"/>
      <c r="O77" s="671"/>
      <c r="P77" s="693"/>
      <c r="Q77" s="671"/>
      <c r="R77" s="674"/>
      <c r="S77" s="671"/>
      <c r="T77" s="671"/>
      <c r="U77" s="675">
        <f>SUM(U78:U83)</f>
        <v>0</v>
      </c>
      <c r="W77" s="629">
        <f>SUM(H77:K77)</f>
        <v>0</v>
      </c>
      <c r="X77" s="629">
        <f>E77-W77</f>
        <v>0</v>
      </c>
      <c r="Y77" s="649">
        <f>U77-W77</f>
        <v>0</v>
      </c>
    </row>
    <row r="78" spans="1:25" ht="18.75" hidden="1" customHeight="1">
      <c r="A78" s="658"/>
      <c r="B78" s="665"/>
      <c r="C78" s="665"/>
      <c r="D78" s="666"/>
      <c r="E78" s="666"/>
      <c r="F78" s="666"/>
      <c r="G78" s="667"/>
      <c r="H78" s="668"/>
      <c r="I78" s="668"/>
      <c r="J78" s="668"/>
      <c r="K78" s="668"/>
      <c r="L78" s="687" t="s">
        <v>57</v>
      </c>
      <c r="M78" s="671"/>
      <c r="N78" s="672">
        <v>0</v>
      </c>
      <c r="O78" s="671" t="s">
        <v>123</v>
      </c>
      <c r="P78" s="693">
        <v>2</v>
      </c>
      <c r="Q78" s="671"/>
      <c r="R78" s="674"/>
      <c r="S78" s="671" t="s">
        <v>153</v>
      </c>
      <c r="T78" s="671"/>
      <c r="U78" s="676">
        <f t="shared" ref="U78:U83" si="7">N78*P78</f>
        <v>0</v>
      </c>
      <c r="Y78" s="649"/>
    </row>
    <row r="79" spans="1:25" ht="18.75" hidden="1" customHeight="1">
      <c r="A79" s="658"/>
      <c r="B79" s="665"/>
      <c r="C79" s="665"/>
      <c r="D79" s="666"/>
      <c r="E79" s="666"/>
      <c r="F79" s="666"/>
      <c r="G79" s="667"/>
      <c r="H79" s="668"/>
      <c r="I79" s="668"/>
      <c r="J79" s="668"/>
      <c r="K79" s="668"/>
      <c r="L79" s="687" t="s">
        <v>240</v>
      </c>
      <c r="M79" s="671"/>
      <c r="N79" s="672">
        <v>0</v>
      </c>
      <c r="O79" s="671" t="s">
        <v>123</v>
      </c>
      <c r="P79" s="693">
        <v>2</v>
      </c>
      <c r="Q79" s="671"/>
      <c r="R79" s="674"/>
      <c r="S79" s="671" t="s">
        <v>153</v>
      </c>
      <c r="T79" s="671"/>
      <c r="U79" s="676">
        <f t="shared" si="7"/>
        <v>0</v>
      </c>
      <c r="Y79" s="649"/>
    </row>
    <row r="80" spans="1:25" ht="18.75" hidden="1" customHeight="1">
      <c r="A80" s="658"/>
      <c r="B80" s="665"/>
      <c r="C80" s="665"/>
      <c r="D80" s="666"/>
      <c r="E80" s="666"/>
      <c r="F80" s="666"/>
      <c r="G80" s="667"/>
      <c r="H80" s="668"/>
      <c r="I80" s="668"/>
      <c r="J80" s="668"/>
      <c r="K80" s="668"/>
      <c r="L80" s="687" t="s">
        <v>236</v>
      </c>
      <c r="M80" s="671"/>
      <c r="N80" s="672">
        <v>0</v>
      </c>
      <c r="O80" s="671" t="s">
        <v>123</v>
      </c>
      <c r="P80" s="693">
        <v>2</v>
      </c>
      <c r="Q80" s="671"/>
      <c r="R80" s="674"/>
      <c r="S80" s="671" t="s">
        <v>153</v>
      </c>
      <c r="T80" s="671"/>
      <c r="U80" s="676">
        <f t="shared" si="7"/>
        <v>0</v>
      </c>
      <c r="Y80" s="649"/>
    </row>
    <row r="81" spans="1:25" ht="18.75" hidden="1" customHeight="1">
      <c r="A81" s="658"/>
      <c r="B81" s="665"/>
      <c r="C81" s="665"/>
      <c r="D81" s="666"/>
      <c r="E81" s="666"/>
      <c r="F81" s="666"/>
      <c r="G81" s="667"/>
      <c r="H81" s="668"/>
      <c r="I81" s="668"/>
      <c r="J81" s="668"/>
      <c r="K81" s="668"/>
      <c r="L81" s="687" t="s">
        <v>254</v>
      </c>
      <c r="M81" s="671"/>
      <c r="N81" s="672">
        <v>0</v>
      </c>
      <c r="O81" s="671" t="s">
        <v>123</v>
      </c>
      <c r="P81" s="693">
        <v>1</v>
      </c>
      <c r="Q81" s="671"/>
      <c r="R81" s="674"/>
      <c r="S81" s="671" t="s">
        <v>153</v>
      </c>
      <c r="T81" s="671"/>
      <c r="U81" s="676">
        <f t="shared" si="7"/>
        <v>0</v>
      </c>
      <c r="Y81" s="649"/>
    </row>
    <row r="82" spans="1:25" ht="18.75" hidden="1" customHeight="1">
      <c r="A82" s="658"/>
      <c r="B82" s="665"/>
      <c r="C82" s="665"/>
      <c r="D82" s="666"/>
      <c r="E82" s="666"/>
      <c r="F82" s="666"/>
      <c r="G82" s="667"/>
      <c r="H82" s="668"/>
      <c r="I82" s="668"/>
      <c r="J82" s="668"/>
      <c r="K82" s="668"/>
      <c r="L82" s="687" t="s">
        <v>364</v>
      </c>
      <c r="M82" s="671"/>
      <c r="N82" s="672">
        <v>0</v>
      </c>
      <c r="O82" s="671" t="s">
        <v>123</v>
      </c>
      <c r="P82" s="693">
        <v>1</v>
      </c>
      <c r="Q82" s="671"/>
      <c r="R82" s="674"/>
      <c r="S82" s="671" t="s">
        <v>153</v>
      </c>
      <c r="T82" s="671"/>
      <c r="U82" s="676">
        <f t="shared" si="7"/>
        <v>0</v>
      </c>
      <c r="Y82" s="649"/>
    </row>
    <row r="83" spans="1:25" ht="18.75" hidden="1" customHeight="1">
      <c r="A83" s="658"/>
      <c r="B83" s="665"/>
      <c r="C83" s="665"/>
      <c r="D83" s="666"/>
      <c r="E83" s="666"/>
      <c r="F83" s="666"/>
      <c r="G83" s="667"/>
      <c r="H83" s="668"/>
      <c r="I83" s="668"/>
      <c r="J83" s="668"/>
      <c r="K83" s="668"/>
      <c r="L83" s="687" t="s">
        <v>261</v>
      </c>
      <c r="M83" s="671"/>
      <c r="N83" s="672">
        <v>0</v>
      </c>
      <c r="O83" s="671" t="s">
        <v>123</v>
      </c>
      <c r="P83" s="673">
        <v>12</v>
      </c>
      <c r="Q83" s="671"/>
      <c r="R83" s="674"/>
      <c r="S83" s="671" t="s">
        <v>153</v>
      </c>
      <c r="T83" s="671"/>
      <c r="U83" s="676">
        <f t="shared" si="7"/>
        <v>0</v>
      </c>
      <c r="Y83" s="649"/>
    </row>
    <row r="84" spans="1:25" ht="18.75" customHeight="1">
      <c r="A84" s="658"/>
      <c r="B84" s="665"/>
      <c r="C84" s="665" t="s">
        <v>442</v>
      </c>
      <c r="D84" s="666">
        <v>2250000</v>
      </c>
      <c r="E84" s="666">
        <f>SUM(H84:K84)</f>
        <v>2250000</v>
      </c>
      <c r="F84" s="666">
        <f t="shared" si="6"/>
        <v>0</v>
      </c>
      <c r="G84" s="667">
        <f t="shared" si="0"/>
        <v>0</v>
      </c>
      <c r="H84" s="668">
        <v>440000</v>
      </c>
      <c r="I84" s="668">
        <v>0</v>
      </c>
      <c r="J84" s="668">
        <v>1810000</v>
      </c>
      <c r="K84" s="668">
        <v>0</v>
      </c>
      <c r="L84" s="671" t="s">
        <v>267</v>
      </c>
      <c r="M84" s="671"/>
      <c r="N84" s="672"/>
      <c r="O84" s="671"/>
      <c r="P84" s="673"/>
      <c r="Q84" s="671"/>
      <c r="R84" s="674"/>
      <c r="S84" s="671"/>
      <c r="T84" s="671"/>
      <c r="U84" s="675">
        <f>SUM(U85:U92)</f>
        <v>2250000</v>
      </c>
      <c r="W84" s="629">
        <f>SUM(H84:K84)</f>
        <v>2250000</v>
      </c>
      <c r="X84" s="629">
        <f>E84-W84</f>
        <v>0</v>
      </c>
      <c r="Y84" s="649">
        <f>U84-W84</f>
        <v>0</v>
      </c>
    </row>
    <row r="85" spans="1:25" ht="18.75" hidden="1" customHeight="1">
      <c r="A85" s="658"/>
      <c r="B85" s="665"/>
      <c r="C85" s="665"/>
      <c r="D85" s="666"/>
      <c r="E85" s="666"/>
      <c r="F85" s="666"/>
      <c r="G85" s="667"/>
      <c r="H85" s="668"/>
      <c r="I85" s="668"/>
      <c r="J85" s="668"/>
      <c r="K85" s="668"/>
      <c r="L85" s="687" t="s">
        <v>335</v>
      </c>
      <c r="M85" s="671"/>
      <c r="N85" s="672">
        <f>U85/P85</f>
        <v>0</v>
      </c>
      <c r="O85" s="671" t="s">
        <v>123</v>
      </c>
      <c r="P85" s="673">
        <v>12</v>
      </c>
      <c r="Q85" s="671"/>
      <c r="R85" s="674"/>
      <c r="S85" s="671" t="s">
        <v>153</v>
      </c>
      <c r="T85" s="671"/>
      <c r="U85" s="676">
        <v>0</v>
      </c>
      <c r="Y85" s="649"/>
    </row>
    <row r="86" spans="1:25" ht="18.75" hidden="1" customHeight="1">
      <c r="A86" s="658"/>
      <c r="B86" s="665"/>
      <c r="C86" s="665"/>
      <c r="D86" s="666"/>
      <c r="E86" s="666"/>
      <c r="F86" s="666"/>
      <c r="G86" s="667"/>
      <c r="H86" s="668"/>
      <c r="I86" s="668"/>
      <c r="J86" s="668"/>
      <c r="K86" s="668"/>
      <c r="L86" s="687" t="s">
        <v>329</v>
      </c>
      <c r="M86" s="671"/>
      <c r="N86" s="672">
        <f t="shared" ref="N86:N92" si="8">U86/P86</f>
        <v>0</v>
      </c>
      <c r="O86" s="671" t="s">
        <v>123</v>
      </c>
      <c r="P86" s="673">
        <v>12</v>
      </c>
      <c r="Q86" s="671"/>
      <c r="R86" s="674"/>
      <c r="S86" s="671" t="s">
        <v>153</v>
      </c>
      <c r="T86" s="671"/>
      <c r="U86" s="676">
        <v>0</v>
      </c>
      <c r="Y86" s="649"/>
    </row>
    <row r="87" spans="1:25" ht="18.75" hidden="1" customHeight="1">
      <c r="A87" s="658"/>
      <c r="B87" s="665"/>
      <c r="C87" s="665"/>
      <c r="D87" s="666"/>
      <c r="E87" s="666"/>
      <c r="F87" s="666"/>
      <c r="G87" s="667"/>
      <c r="H87" s="668"/>
      <c r="I87" s="668"/>
      <c r="J87" s="668"/>
      <c r="K87" s="668"/>
      <c r="L87" s="687" t="s">
        <v>388</v>
      </c>
      <c r="M87" s="671"/>
      <c r="N87" s="672">
        <f t="shared" si="8"/>
        <v>0</v>
      </c>
      <c r="O87" s="671" t="s">
        <v>123</v>
      </c>
      <c r="P87" s="673">
        <v>1</v>
      </c>
      <c r="Q87" s="671"/>
      <c r="R87" s="674"/>
      <c r="S87" s="671" t="s">
        <v>153</v>
      </c>
      <c r="T87" s="671"/>
      <c r="U87" s="676">
        <v>0</v>
      </c>
      <c r="Y87" s="649"/>
    </row>
    <row r="88" spans="1:25" ht="18.75" hidden="1" customHeight="1">
      <c r="A88" s="658"/>
      <c r="B88" s="665"/>
      <c r="C88" s="665"/>
      <c r="D88" s="666"/>
      <c r="E88" s="666"/>
      <c r="F88" s="666"/>
      <c r="G88" s="667"/>
      <c r="H88" s="668"/>
      <c r="I88" s="668"/>
      <c r="J88" s="668"/>
      <c r="K88" s="668"/>
      <c r="L88" s="687" t="s">
        <v>388</v>
      </c>
      <c r="M88" s="671"/>
      <c r="N88" s="672">
        <f t="shared" si="8"/>
        <v>0</v>
      </c>
      <c r="O88" s="671" t="s">
        <v>123</v>
      </c>
      <c r="P88" s="673">
        <v>1</v>
      </c>
      <c r="Q88" s="671"/>
      <c r="R88" s="674"/>
      <c r="S88" s="671" t="s">
        <v>153</v>
      </c>
      <c r="T88" s="671"/>
      <c r="U88" s="676">
        <v>0</v>
      </c>
      <c r="Y88" s="649"/>
    </row>
    <row r="89" spans="1:25" ht="18.75" customHeight="1">
      <c r="A89" s="658"/>
      <c r="B89" s="665"/>
      <c r="C89" s="665"/>
      <c r="D89" s="666"/>
      <c r="E89" s="666"/>
      <c r="F89" s="666"/>
      <c r="G89" s="667"/>
      <c r="H89" s="668"/>
      <c r="I89" s="668"/>
      <c r="J89" s="668"/>
      <c r="K89" s="668"/>
      <c r="L89" s="687" t="s">
        <v>442</v>
      </c>
      <c r="M89" s="671"/>
      <c r="N89" s="672">
        <f t="shared" si="8"/>
        <v>250000</v>
      </c>
      <c r="O89" s="671" t="s">
        <v>123</v>
      </c>
      <c r="P89" s="693">
        <v>4</v>
      </c>
      <c r="Q89" s="671"/>
      <c r="R89" s="674"/>
      <c r="S89" s="671" t="s">
        <v>153</v>
      </c>
      <c r="T89" s="671"/>
      <c r="U89" s="676">
        <v>1000000</v>
      </c>
      <c r="Y89" s="649"/>
    </row>
    <row r="90" spans="1:25" ht="18.75" customHeight="1">
      <c r="A90" s="658"/>
      <c r="B90" s="665"/>
      <c r="C90" s="665"/>
      <c r="D90" s="666"/>
      <c r="E90" s="666"/>
      <c r="F90" s="666"/>
      <c r="G90" s="667"/>
      <c r="H90" s="668"/>
      <c r="I90" s="668"/>
      <c r="J90" s="668"/>
      <c r="K90" s="668"/>
      <c r="L90" s="687" t="s">
        <v>388</v>
      </c>
      <c r="M90" s="671"/>
      <c r="N90" s="672">
        <f t="shared" si="8"/>
        <v>220000</v>
      </c>
      <c r="O90" s="671" t="s">
        <v>123</v>
      </c>
      <c r="P90" s="693">
        <v>2</v>
      </c>
      <c r="Q90" s="671"/>
      <c r="R90" s="674"/>
      <c r="S90" s="671" t="s">
        <v>153</v>
      </c>
      <c r="T90" s="671"/>
      <c r="U90" s="676">
        <v>440000</v>
      </c>
      <c r="Y90" s="649"/>
    </row>
    <row r="91" spans="1:25" ht="18.75" customHeight="1">
      <c r="A91" s="658"/>
      <c r="B91" s="665"/>
      <c r="C91" s="665"/>
      <c r="D91" s="666"/>
      <c r="E91" s="666"/>
      <c r="F91" s="666"/>
      <c r="G91" s="667"/>
      <c r="H91" s="668"/>
      <c r="I91" s="668"/>
      <c r="J91" s="668"/>
      <c r="K91" s="668"/>
      <c r="L91" s="687" t="s">
        <v>384</v>
      </c>
      <c r="M91" s="671"/>
      <c r="N91" s="672">
        <f t="shared" si="8"/>
        <v>50000</v>
      </c>
      <c r="O91" s="671" t="s">
        <v>123</v>
      </c>
      <c r="P91" s="673">
        <v>12</v>
      </c>
      <c r="Q91" s="671"/>
      <c r="R91" s="674"/>
      <c r="S91" s="671" t="s">
        <v>153</v>
      </c>
      <c r="T91" s="671"/>
      <c r="U91" s="676">
        <v>600000</v>
      </c>
      <c r="Y91" s="649"/>
    </row>
    <row r="92" spans="1:25" ht="18.75" customHeight="1">
      <c r="A92" s="658"/>
      <c r="B92" s="665"/>
      <c r="C92" s="665"/>
      <c r="D92" s="666"/>
      <c r="E92" s="666"/>
      <c r="F92" s="666"/>
      <c r="G92" s="667"/>
      <c r="H92" s="668"/>
      <c r="I92" s="668"/>
      <c r="J92" s="668"/>
      <c r="K92" s="668"/>
      <c r="L92" s="687" t="s">
        <v>417</v>
      </c>
      <c r="M92" s="671"/>
      <c r="N92" s="672">
        <f t="shared" si="8"/>
        <v>105000</v>
      </c>
      <c r="O92" s="671" t="s">
        <v>123</v>
      </c>
      <c r="P92" s="686">
        <v>2</v>
      </c>
      <c r="Q92" s="671"/>
      <c r="R92" s="674"/>
      <c r="S92" s="671" t="s">
        <v>153</v>
      </c>
      <c r="T92" s="671"/>
      <c r="U92" s="676">
        <v>210000</v>
      </c>
      <c r="Y92" s="649"/>
    </row>
    <row r="93" spans="1:25" ht="18.75" customHeight="1">
      <c r="A93" s="688" t="s">
        <v>178</v>
      </c>
      <c r="B93" s="689" t="s">
        <v>114</v>
      </c>
      <c r="C93" s="689"/>
      <c r="D93" s="690">
        <f>D94+D113</f>
        <v>22632000</v>
      </c>
      <c r="E93" s="690">
        <f>SUM(E94,E113)</f>
        <v>22744000</v>
      </c>
      <c r="F93" s="690">
        <f>E93-D93</f>
        <v>112000</v>
      </c>
      <c r="G93" s="691">
        <f t="shared" si="0"/>
        <v>0.49487451396253096</v>
      </c>
      <c r="H93" s="692">
        <f>H94+H113</f>
        <v>9402000</v>
      </c>
      <c r="I93" s="692">
        <f>I94+I113</f>
        <v>0</v>
      </c>
      <c r="J93" s="692">
        <f>J94+J113</f>
        <v>13342000</v>
      </c>
      <c r="K93" s="692">
        <f>K94+K113</f>
        <v>0</v>
      </c>
      <c r="L93" s="656"/>
      <c r="M93" s="656"/>
      <c r="N93" s="656"/>
      <c r="O93" s="656"/>
      <c r="P93" s="656"/>
      <c r="Q93" s="656"/>
      <c r="R93" s="656"/>
      <c r="S93" s="656"/>
      <c r="T93" s="656"/>
      <c r="U93" s="657">
        <f>U94+U113</f>
        <v>22744000</v>
      </c>
      <c r="W93" s="629">
        <f>SUM(H93:K93)</f>
        <v>22744000</v>
      </c>
      <c r="X93" s="629">
        <f>E93-W93</f>
        <v>0</v>
      </c>
      <c r="Y93" s="649">
        <f>U93-W93</f>
        <v>0</v>
      </c>
    </row>
    <row r="94" spans="1:25" ht="18.75" customHeight="1">
      <c r="A94" s="658"/>
      <c r="B94" s="659" t="s">
        <v>162</v>
      </c>
      <c r="C94" s="659" t="s">
        <v>164</v>
      </c>
      <c r="D94" s="660">
        <f>SUM(D95:D112)</f>
        <v>17528000</v>
      </c>
      <c r="E94" s="660">
        <f>SUM(E95,E101,E107,E110)</f>
        <v>14740000</v>
      </c>
      <c r="F94" s="660">
        <f>E94-D94</f>
        <v>-2788000</v>
      </c>
      <c r="G94" s="661">
        <f t="shared" si="0"/>
        <v>-15.905979005020537</v>
      </c>
      <c r="H94" s="694">
        <f>SUM(H95,H101,H105,H107,H110)</f>
        <v>4460000</v>
      </c>
      <c r="I94" s="694">
        <f>SUM(I95:I110)</f>
        <v>0</v>
      </c>
      <c r="J94" s="694">
        <f>SUM(J95,J101,J105,J107,J110)</f>
        <v>10280000</v>
      </c>
      <c r="K94" s="694">
        <f>SUM(K95,K101,K105,K107,K110)</f>
        <v>0</v>
      </c>
      <c r="L94" s="663"/>
      <c r="M94" s="663"/>
      <c r="N94" s="663"/>
      <c r="O94" s="663"/>
      <c r="P94" s="663"/>
      <c r="Q94" s="663"/>
      <c r="R94" s="663"/>
      <c r="S94" s="663"/>
      <c r="T94" s="663"/>
      <c r="U94" s="664">
        <f>SUM(U95,U101,U105,U107,U110)</f>
        <v>14740000</v>
      </c>
      <c r="W94" s="629">
        <f>SUM(H94:K94)</f>
        <v>14740000</v>
      </c>
      <c r="X94" s="629">
        <f>E94-W94</f>
        <v>0</v>
      </c>
      <c r="Y94" s="649">
        <f>U94-W94</f>
        <v>0</v>
      </c>
    </row>
    <row r="95" spans="1:25" ht="18.75" customHeight="1">
      <c r="A95" s="658"/>
      <c r="B95" s="665"/>
      <c r="C95" s="665" t="s">
        <v>149</v>
      </c>
      <c r="D95" s="666">
        <v>8648000</v>
      </c>
      <c r="E95" s="666">
        <f>SUM(H95:K95)</f>
        <v>6760000</v>
      </c>
      <c r="F95" s="666">
        <f>E95-D95</f>
        <v>-1888000</v>
      </c>
      <c r="G95" s="667">
        <f t="shared" si="0"/>
        <v>-21.831637372802959</v>
      </c>
      <c r="H95" s="668">
        <v>1710000</v>
      </c>
      <c r="I95" s="668">
        <v>0</v>
      </c>
      <c r="J95" s="668">
        <v>5050000</v>
      </c>
      <c r="K95" s="668">
        <v>0</v>
      </c>
      <c r="L95" s="671" t="s">
        <v>328</v>
      </c>
      <c r="M95" s="671"/>
      <c r="N95" s="672"/>
      <c r="O95" s="671"/>
      <c r="P95" s="695"/>
      <c r="Q95" s="671"/>
      <c r="R95" s="674"/>
      <c r="S95" s="671"/>
      <c r="T95" s="671"/>
      <c r="U95" s="675">
        <f>SUM(U96:U100)</f>
        <v>6760000</v>
      </c>
      <c r="W95" s="629">
        <f>SUM(H95:K95)</f>
        <v>6760000</v>
      </c>
      <c r="X95" s="629">
        <f>E95-W95</f>
        <v>0</v>
      </c>
      <c r="Y95" s="649">
        <f>U95-W95</f>
        <v>0</v>
      </c>
    </row>
    <row r="96" spans="1:25" ht="18.75" customHeight="1">
      <c r="A96" s="658"/>
      <c r="B96" s="665"/>
      <c r="C96" s="665"/>
      <c r="D96" s="666"/>
      <c r="E96" s="666"/>
      <c r="F96" s="666"/>
      <c r="G96" s="667"/>
      <c r="H96" s="668"/>
      <c r="I96" s="668"/>
      <c r="J96" s="668"/>
      <c r="K96" s="668"/>
      <c r="L96" s="687" t="s">
        <v>336</v>
      </c>
      <c r="M96" s="671"/>
      <c r="N96" s="672">
        <f>U96/P96/R96</f>
        <v>5000</v>
      </c>
      <c r="O96" s="671" t="s">
        <v>123</v>
      </c>
      <c r="P96" s="695">
        <v>260</v>
      </c>
      <c r="Q96" s="671" t="s">
        <v>123</v>
      </c>
      <c r="R96" s="674">
        <v>4</v>
      </c>
      <c r="S96" s="671" t="s">
        <v>153</v>
      </c>
      <c r="T96" s="671"/>
      <c r="U96" s="676">
        <v>5200000</v>
      </c>
      <c r="Y96" s="649"/>
    </row>
    <row r="97" spans="1:25" ht="18.75" customHeight="1">
      <c r="A97" s="658"/>
      <c r="B97" s="665"/>
      <c r="C97" s="665"/>
      <c r="D97" s="666"/>
      <c r="E97" s="666"/>
      <c r="F97" s="666"/>
      <c r="G97" s="667"/>
      <c r="H97" s="668"/>
      <c r="I97" s="668"/>
      <c r="J97" s="668"/>
      <c r="K97" s="668"/>
      <c r="L97" s="687" t="s">
        <v>87</v>
      </c>
      <c r="M97" s="671"/>
      <c r="N97" s="672">
        <f>U97/P97/R97</f>
        <v>1000</v>
      </c>
      <c r="O97" s="671" t="s">
        <v>123</v>
      </c>
      <c r="P97" s="695">
        <v>260</v>
      </c>
      <c r="Q97" s="671" t="s">
        <v>123</v>
      </c>
      <c r="R97" s="674">
        <v>4</v>
      </c>
      <c r="S97" s="671" t="s">
        <v>153</v>
      </c>
      <c r="T97" s="671"/>
      <c r="U97" s="676">
        <v>1040000</v>
      </c>
      <c r="Y97" s="649"/>
    </row>
    <row r="98" spans="1:25" ht="18.75" hidden="1" customHeight="1">
      <c r="A98" s="658"/>
      <c r="B98" s="665"/>
      <c r="C98" s="665"/>
      <c r="D98" s="666"/>
      <c r="E98" s="666"/>
      <c r="F98" s="666"/>
      <c r="G98" s="667"/>
      <c r="H98" s="668"/>
      <c r="I98" s="668"/>
      <c r="J98" s="668"/>
      <c r="K98" s="668"/>
      <c r="L98" s="687" t="s">
        <v>360</v>
      </c>
      <c r="M98" s="671"/>
      <c r="N98" s="672">
        <f>U98/P98</f>
        <v>0</v>
      </c>
      <c r="O98" s="671" t="s">
        <v>123</v>
      </c>
      <c r="P98" s="673">
        <v>6</v>
      </c>
      <c r="Q98" s="671"/>
      <c r="R98" s="674"/>
      <c r="S98" s="671" t="s">
        <v>153</v>
      </c>
      <c r="T98" s="671"/>
      <c r="U98" s="676">
        <v>0</v>
      </c>
      <c r="Y98" s="649"/>
    </row>
    <row r="99" spans="1:25" ht="18.75" customHeight="1">
      <c r="A99" s="658"/>
      <c r="B99" s="665"/>
      <c r="C99" s="665"/>
      <c r="D99" s="666"/>
      <c r="E99" s="666"/>
      <c r="F99" s="666"/>
      <c r="G99" s="667"/>
      <c r="H99" s="668"/>
      <c r="I99" s="668"/>
      <c r="J99" s="668"/>
      <c r="K99" s="668"/>
      <c r="L99" s="687" t="s">
        <v>362</v>
      </c>
      <c r="M99" s="671"/>
      <c r="N99" s="672">
        <f>U99/P99</f>
        <v>30000</v>
      </c>
      <c r="O99" s="671" t="s">
        <v>123</v>
      </c>
      <c r="P99" s="686">
        <v>4</v>
      </c>
      <c r="Q99" s="671" t="s">
        <v>123</v>
      </c>
      <c r="R99" s="674"/>
      <c r="S99" s="671" t="s">
        <v>153</v>
      </c>
      <c r="T99" s="671"/>
      <c r="U99" s="676">
        <v>120000</v>
      </c>
      <c r="Y99" s="649"/>
    </row>
    <row r="100" spans="1:25" ht="18.75" customHeight="1">
      <c r="A100" s="658"/>
      <c r="B100" s="665"/>
      <c r="C100" s="665"/>
      <c r="D100" s="666"/>
      <c r="E100" s="666"/>
      <c r="F100" s="666"/>
      <c r="G100" s="667"/>
      <c r="H100" s="668"/>
      <c r="I100" s="668"/>
      <c r="J100" s="668"/>
      <c r="K100" s="668"/>
      <c r="L100" s="687" t="s">
        <v>403</v>
      </c>
      <c r="M100" s="671"/>
      <c r="N100" s="672">
        <f>U100/P100</f>
        <v>400000</v>
      </c>
      <c r="O100" s="671" t="s">
        <v>123</v>
      </c>
      <c r="P100" s="686">
        <v>1</v>
      </c>
      <c r="Q100" s="671"/>
      <c r="R100" s="674"/>
      <c r="S100" s="671" t="s">
        <v>153</v>
      </c>
      <c r="T100" s="671"/>
      <c r="U100" s="676">
        <v>400000</v>
      </c>
      <c r="Y100" s="649"/>
    </row>
    <row r="101" spans="1:25" ht="18.75" customHeight="1">
      <c r="A101" s="658"/>
      <c r="B101" s="665"/>
      <c r="C101" s="665" t="s">
        <v>463</v>
      </c>
      <c r="D101" s="666">
        <v>1380000</v>
      </c>
      <c r="E101" s="666">
        <f>SUM(H101:K101)</f>
        <v>1380000</v>
      </c>
      <c r="F101" s="666">
        <f t="shared" ref="F101:F110" si="9">E101-D101</f>
        <v>0</v>
      </c>
      <c r="G101" s="667">
        <f t="shared" si="0"/>
        <v>0</v>
      </c>
      <c r="H101" s="668">
        <v>600000</v>
      </c>
      <c r="I101" s="668">
        <v>0</v>
      </c>
      <c r="J101" s="668">
        <v>780000</v>
      </c>
      <c r="K101" s="668">
        <v>0</v>
      </c>
      <c r="L101" s="762" t="s">
        <v>348</v>
      </c>
      <c r="M101" s="671"/>
      <c r="N101" s="672"/>
      <c r="O101" s="671"/>
      <c r="P101" s="673"/>
      <c r="Q101" s="671"/>
      <c r="R101" s="674"/>
      <c r="S101" s="671"/>
      <c r="T101" s="671"/>
      <c r="U101" s="675">
        <f>SUM(U102:U104)</f>
        <v>1380000</v>
      </c>
      <c r="V101" s="696"/>
      <c r="W101" s="629">
        <f>SUM(H101:K101)</f>
        <v>1380000</v>
      </c>
      <c r="X101" s="629">
        <f>E101-W101</f>
        <v>0</v>
      </c>
      <c r="Y101" s="649">
        <f>U101-W101</f>
        <v>0</v>
      </c>
    </row>
    <row r="102" spans="1:25" ht="18.75" customHeight="1">
      <c r="A102" s="658"/>
      <c r="B102" s="665"/>
      <c r="C102" s="665"/>
      <c r="D102" s="666"/>
      <c r="E102" s="666"/>
      <c r="F102" s="666"/>
      <c r="G102" s="667"/>
      <c r="H102" s="668"/>
      <c r="I102" s="668"/>
      <c r="J102" s="668"/>
      <c r="K102" s="668"/>
      <c r="L102" s="763" t="s">
        <v>369</v>
      </c>
      <c r="M102" s="671"/>
      <c r="N102" s="672">
        <f>U102/P102</f>
        <v>80000</v>
      </c>
      <c r="O102" s="671" t="s">
        <v>123</v>
      </c>
      <c r="P102" s="686">
        <v>12</v>
      </c>
      <c r="Q102" s="671"/>
      <c r="R102" s="674"/>
      <c r="S102" s="671" t="s">
        <v>153</v>
      </c>
      <c r="T102" s="671"/>
      <c r="U102" s="676">
        <v>960000</v>
      </c>
      <c r="V102" s="696"/>
      <c r="Y102" s="649"/>
    </row>
    <row r="103" spans="1:25" ht="18.75" customHeight="1">
      <c r="A103" s="658"/>
      <c r="B103" s="665"/>
      <c r="C103" s="665"/>
      <c r="D103" s="666"/>
      <c r="E103" s="666"/>
      <c r="F103" s="666"/>
      <c r="G103" s="667"/>
      <c r="H103" s="668"/>
      <c r="I103" s="668"/>
      <c r="J103" s="668"/>
      <c r="K103" s="668"/>
      <c r="L103" s="763" t="s">
        <v>375</v>
      </c>
      <c r="M103" s="671"/>
      <c r="N103" s="672">
        <f t="shared" ref="N103:N104" si="10">U103/P103</f>
        <v>70000</v>
      </c>
      <c r="O103" s="671" t="s">
        <v>123</v>
      </c>
      <c r="P103" s="686">
        <v>6</v>
      </c>
      <c r="Q103" s="671"/>
      <c r="R103" s="674"/>
      <c r="S103" s="671" t="s">
        <v>153</v>
      </c>
      <c r="T103" s="671"/>
      <c r="U103" s="676">
        <v>420000</v>
      </c>
      <c r="V103" s="696"/>
      <c r="Y103" s="649"/>
    </row>
    <row r="104" spans="1:25" ht="18.75" hidden="1" customHeight="1">
      <c r="A104" s="658"/>
      <c r="B104" s="665"/>
      <c r="C104" s="665"/>
      <c r="D104" s="666"/>
      <c r="E104" s="666"/>
      <c r="F104" s="666"/>
      <c r="G104" s="667"/>
      <c r="H104" s="668"/>
      <c r="I104" s="668"/>
      <c r="J104" s="668"/>
      <c r="K104" s="668"/>
      <c r="L104" s="763" t="s">
        <v>98</v>
      </c>
      <c r="M104" s="671"/>
      <c r="N104" s="672">
        <f t="shared" si="10"/>
        <v>0</v>
      </c>
      <c r="O104" s="671" t="s">
        <v>123</v>
      </c>
      <c r="P104" s="686">
        <v>4</v>
      </c>
      <c r="Q104" s="671"/>
      <c r="R104" s="674"/>
      <c r="S104" s="671" t="s">
        <v>153</v>
      </c>
      <c r="T104" s="671"/>
      <c r="U104" s="676">
        <v>0</v>
      </c>
      <c r="V104" s="696"/>
      <c r="Y104" s="649"/>
    </row>
    <row r="105" spans="1:25" ht="18.75" hidden="1" customHeight="1">
      <c r="A105" s="658"/>
      <c r="B105" s="665"/>
      <c r="C105" s="665" t="s">
        <v>138</v>
      </c>
      <c r="D105" s="666">
        <v>0</v>
      </c>
      <c r="E105" s="666">
        <v>0</v>
      </c>
      <c r="F105" s="666">
        <f t="shared" si="9"/>
        <v>0</v>
      </c>
      <c r="G105" s="667">
        <v>0</v>
      </c>
      <c r="H105" s="668">
        <v>0</v>
      </c>
      <c r="I105" s="668">
        <v>0</v>
      </c>
      <c r="J105" s="668">
        <v>0</v>
      </c>
      <c r="K105" s="668">
        <v>0</v>
      </c>
      <c r="L105" s="762" t="s">
        <v>354</v>
      </c>
      <c r="M105" s="671"/>
      <c r="N105" s="672"/>
      <c r="O105" s="671"/>
      <c r="P105" s="693"/>
      <c r="Q105" s="671"/>
      <c r="R105" s="674"/>
      <c r="S105" s="671"/>
      <c r="T105" s="671"/>
      <c r="U105" s="675">
        <f>U106</f>
        <v>0</v>
      </c>
      <c r="V105" s="696"/>
      <c r="Y105" s="649"/>
    </row>
    <row r="106" spans="1:25" ht="18.75" hidden="1" customHeight="1">
      <c r="A106" s="697"/>
      <c r="B106" s="698"/>
      <c r="C106" s="698"/>
      <c r="D106" s="666"/>
      <c r="E106" s="666"/>
      <c r="F106" s="666"/>
      <c r="G106" s="699"/>
      <c r="H106" s="668"/>
      <c r="I106" s="700"/>
      <c r="J106" s="668"/>
      <c r="K106" s="668"/>
      <c r="L106" s="764" t="s">
        <v>274</v>
      </c>
      <c r="M106" s="701"/>
      <c r="N106" s="672">
        <f>U106/P106/R106</f>
        <v>0</v>
      </c>
      <c r="O106" s="671" t="s">
        <v>123</v>
      </c>
      <c r="P106" s="693">
        <v>1</v>
      </c>
      <c r="Q106" s="671" t="s">
        <v>123</v>
      </c>
      <c r="R106" s="674">
        <v>16</v>
      </c>
      <c r="S106" s="671" t="s">
        <v>153</v>
      </c>
      <c r="T106" s="671"/>
      <c r="U106" s="676">
        <v>0</v>
      </c>
      <c r="V106" s="696"/>
      <c r="Y106" s="649"/>
    </row>
    <row r="107" spans="1:25" ht="18.75" customHeight="1">
      <c r="A107" s="697"/>
      <c r="B107" s="698"/>
      <c r="C107" s="698" t="s">
        <v>125</v>
      </c>
      <c r="D107" s="666">
        <v>600000</v>
      </c>
      <c r="E107" s="666">
        <f>SUM(H107:K107)</f>
        <v>600000</v>
      </c>
      <c r="F107" s="666">
        <f t="shared" si="9"/>
        <v>0</v>
      </c>
      <c r="G107" s="699">
        <f t="shared" si="0"/>
        <v>0</v>
      </c>
      <c r="H107" s="668">
        <v>150000</v>
      </c>
      <c r="I107" s="668">
        <v>0</v>
      </c>
      <c r="J107" s="668">
        <v>450000</v>
      </c>
      <c r="K107" s="668">
        <v>0</v>
      </c>
      <c r="L107" s="765" t="s">
        <v>365</v>
      </c>
      <c r="M107" s="701"/>
      <c r="N107" s="672"/>
      <c r="O107" s="671"/>
      <c r="P107" s="673"/>
      <c r="Q107" s="671"/>
      <c r="R107" s="674"/>
      <c r="S107" s="671"/>
      <c r="T107" s="671"/>
      <c r="U107" s="675">
        <f>SUM(U108:U109)</f>
        <v>600000</v>
      </c>
      <c r="V107" s="630"/>
      <c r="W107" s="629">
        <f>SUM(H107:K107)</f>
        <v>600000</v>
      </c>
      <c r="X107" s="629">
        <f>E107-W107</f>
        <v>0</v>
      </c>
      <c r="Y107" s="649">
        <f>U107-W107</f>
        <v>0</v>
      </c>
    </row>
    <row r="108" spans="1:25" ht="18.75" customHeight="1">
      <c r="A108" s="697"/>
      <c r="B108" s="698"/>
      <c r="C108" s="698"/>
      <c r="D108" s="666"/>
      <c r="E108" s="666"/>
      <c r="F108" s="666"/>
      <c r="G108" s="699"/>
      <c r="H108" s="668"/>
      <c r="I108" s="700"/>
      <c r="J108" s="668"/>
      <c r="K108" s="668"/>
      <c r="L108" s="766" t="s">
        <v>389</v>
      </c>
      <c r="M108" s="701"/>
      <c r="N108" s="672">
        <f>U108/P108</f>
        <v>150000</v>
      </c>
      <c r="O108" s="671" t="s">
        <v>123</v>
      </c>
      <c r="P108" s="686">
        <v>4</v>
      </c>
      <c r="Q108" s="671"/>
      <c r="R108" s="674"/>
      <c r="S108" s="671" t="s">
        <v>153</v>
      </c>
      <c r="T108" s="671"/>
      <c r="U108" s="676">
        <v>600000</v>
      </c>
      <c r="V108" s="630"/>
      <c r="Y108" s="649"/>
    </row>
    <row r="109" spans="1:25" ht="18.75" hidden="1" customHeight="1">
      <c r="A109" s="697"/>
      <c r="B109" s="698"/>
      <c r="C109" s="698"/>
      <c r="D109" s="666"/>
      <c r="E109" s="666"/>
      <c r="F109" s="666"/>
      <c r="G109" s="699"/>
      <c r="H109" s="668"/>
      <c r="I109" s="700"/>
      <c r="J109" s="668"/>
      <c r="K109" s="668"/>
      <c r="L109" s="766" t="s">
        <v>372</v>
      </c>
      <c r="M109" s="701"/>
      <c r="N109" s="672">
        <f>U109/P109</f>
        <v>0</v>
      </c>
      <c r="O109" s="671" t="s">
        <v>123</v>
      </c>
      <c r="P109" s="673">
        <v>12</v>
      </c>
      <c r="Q109" s="671"/>
      <c r="R109" s="674"/>
      <c r="S109" s="671" t="s">
        <v>153</v>
      </c>
      <c r="T109" s="671"/>
      <c r="U109" s="676">
        <v>0</v>
      </c>
      <c r="V109" s="630"/>
      <c r="Y109" s="649"/>
    </row>
    <row r="110" spans="1:25" ht="19.5" customHeight="1">
      <c r="A110" s="702"/>
      <c r="B110" s="703"/>
      <c r="C110" s="704" t="s">
        <v>148</v>
      </c>
      <c r="D110" s="666">
        <v>6900000</v>
      </c>
      <c r="E110" s="666">
        <f>SUM(H110:K110)</f>
        <v>6000000</v>
      </c>
      <c r="F110" s="666">
        <f t="shared" si="9"/>
        <v>-900000</v>
      </c>
      <c r="G110" s="705">
        <f t="shared" si="0"/>
        <v>-13.043478260869565</v>
      </c>
      <c r="H110" s="668">
        <v>2000000</v>
      </c>
      <c r="I110" s="668">
        <v>0</v>
      </c>
      <c r="J110" s="668">
        <v>4000000</v>
      </c>
      <c r="K110" s="668">
        <v>0</v>
      </c>
      <c r="L110" s="715" t="s">
        <v>350</v>
      </c>
      <c r="M110" s="708"/>
      <c r="N110" s="672"/>
      <c r="O110" s="671"/>
      <c r="P110" s="673"/>
      <c r="Q110" s="671"/>
      <c r="R110" s="674"/>
      <c r="S110" s="671"/>
      <c r="T110" s="671"/>
      <c r="U110" s="675">
        <f>SUM(U111:U112)</f>
        <v>6000000</v>
      </c>
      <c r="W110" s="629">
        <f>SUM(H110:K110)</f>
        <v>6000000</v>
      </c>
      <c r="X110" s="629">
        <f>E110-W110</f>
        <v>0</v>
      </c>
      <c r="Y110" s="649">
        <f>U110-W110</f>
        <v>0</v>
      </c>
    </row>
    <row r="111" spans="1:25" ht="19.5" customHeight="1">
      <c r="A111" s="702"/>
      <c r="B111" s="703"/>
      <c r="C111" s="704"/>
      <c r="D111" s="666"/>
      <c r="E111" s="666"/>
      <c r="F111" s="666"/>
      <c r="G111" s="705"/>
      <c r="H111" s="668"/>
      <c r="I111" s="706"/>
      <c r="J111" s="668"/>
      <c r="K111" s="668"/>
      <c r="L111" s="716" t="s">
        <v>399</v>
      </c>
      <c r="M111" s="708"/>
      <c r="N111" s="672">
        <f>U111/P111</f>
        <v>500000</v>
      </c>
      <c r="O111" s="671" t="s">
        <v>123</v>
      </c>
      <c r="P111" s="673">
        <v>12</v>
      </c>
      <c r="Q111" s="671"/>
      <c r="R111" s="674"/>
      <c r="S111" s="671" t="s">
        <v>153</v>
      </c>
      <c r="T111" s="671"/>
      <c r="U111" s="676">
        <v>6000000</v>
      </c>
      <c r="Y111" s="649"/>
    </row>
    <row r="112" spans="1:25" ht="19.5" customHeight="1">
      <c r="A112" s="702"/>
      <c r="B112" s="703"/>
      <c r="C112" s="704"/>
      <c r="D112" s="666"/>
      <c r="E112" s="666"/>
      <c r="F112" s="666"/>
      <c r="G112" s="705"/>
      <c r="H112" s="668"/>
      <c r="I112" s="706"/>
      <c r="J112" s="668"/>
      <c r="K112" s="668"/>
      <c r="L112" s="716" t="s">
        <v>371</v>
      </c>
      <c r="M112" s="708"/>
      <c r="N112" s="672">
        <f>U112/P112</f>
        <v>0</v>
      </c>
      <c r="O112" s="671" t="s">
        <v>123</v>
      </c>
      <c r="P112" s="673">
        <v>12</v>
      </c>
      <c r="Q112" s="671"/>
      <c r="R112" s="674"/>
      <c r="S112" s="671" t="s">
        <v>153</v>
      </c>
      <c r="T112" s="671"/>
      <c r="U112" s="676">
        <v>0</v>
      </c>
      <c r="Y112" s="649"/>
    </row>
    <row r="113" spans="1:25" ht="19.5" customHeight="1">
      <c r="A113" s="702"/>
      <c r="B113" s="710" t="s">
        <v>178</v>
      </c>
      <c r="C113" s="711" t="s">
        <v>164</v>
      </c>
      <c r="D113" s="660">
        <f>SUM(D114:D145)</f>
        <v>5104000</v>
      </c>
      <c r="E113" s="660">
        <f>E114+E118+E129+E132+E134+E136+E138+E144+E146</f>
        <v>8004000</v>
      </c>
      <c r="F113" s="660">
        <f>F114+F118+F129+F132+F134+F136+F138+F144+F146</f>
        <v>2900000</v>
      </c>
      <c r="G113" s="712">
        <f t="shared" si="0"/>
        <v>56.81818181818182</v>
      </c>
      <c r="H113" s="660">
        <f>H114+H118+H129+H132+H134+H136+H138+H144+H146</f>
        <v>4942000</v>
      </c>
      <c r="I113" s="660">
        <f t="shared" ref="I113:K113" si="11">I114+I118+I129+I132+I134+I136+I138+I144+I146</f>
        <v>0</v>
      </c>
      <c r="J113" s="660">
        <f t="shared" si="11"/>
        <v>3062000</v>
      </c>
      <c r="K113" s="660">
        <f t="shared" si="11"/>
        <v>0</v>
      </c>
      <c r="L113" s="744"/>
      <c r="M113" s="713"/>
      <c r="N113" s="713"/>
      <c r="O113" s="713"/>
      <c r="P113" s="713"/>
      <c r="Q113" s="713"/>
      <c r="R113" s="713"/>
      <c r="S113" s="713"/>
      <c r="T113" s="713"/>
      <c r="U113" s="714">
        <f>U114+U118+U129+U132+U138+U144+U146</f>
        <v>8004000</v>
      </c>
      <c r="W113" s="629">
        <f>SUM(H113:K113)</f>
        <v>8004000</v>
      </c>
      <c r="X113" s="629">
        <f>E113-W113</f>
        <v>0</v>
      </c>
      <c r="Y113" s="649">
        <f>U113-W113</f>
        <v>0</v>
      </c>
    </row>
    <row r="114" spans="1:25" ht="19.5" customHeight="1">
      <c r="A114" s="702"/>
      <c r="B114" s="703"/>
      <c r="C114" s="704" t="s">
        <v>380</v>
      </c>
      <c r="D114" s="666">
        <v>50000</v>
      </c>
      <c r="E114" s="666">
        <f>SUM(H114:K114)</f>
        <v>50000</v>
      </c>
      <c r="F114" s="666">
        <f>E114-D114</f>
        <v>0</v>
      </c>
      <c r="G114" s="705">
        <v>0</v>
      </c>
      <c r="H114" s="668">
        <v>0</v>
      </c>
      <c r="I114" s="668">
        <v>0</v>
      </c>
      <c r="J114" s="668">
        <v>50000</v>
      </c>
      <c r="K114" s="668">
        <v>0</v>
      </c>
      <c r="L114" s="707" t="s">
        <v>407</v>
      </c>
      <c r="M114" s="708"/>
      <c r="N114" s="672"/>
      <c r="O114" s="671"/>
      <c r="P114" s="673"/>
      <c r="Q114" s="671"/>
      <c r="R114" s="674"/>
      <c r="S114" s="671"/>
      <c r="T114" s="671"/>
      <c r="U114" s="675">
        <f>U115</f>
        <v>50000</v>
      </c>
      <c r="W114" s="629">
        <f>SUM(H114:K114)</f>
        <v>50000</v>
      </c>
      <c r="X114" s="629">
        <f>E114-W114</f>
        <v>0</v>
      </c>
      <c r="Y114" s="649">
        <f>U114-W114</f>
        <v>0</v>
      </c>
    </row>
    <row r="115" spans="1:25" ht="19.5" customHeight="1">
      <c r="A115" s="702"/>
      <c r="B115" s="703"/>
      <c r="C115" s="704"/>
      <c r="D115" s="666"/>
      <c r="E115" s="666"/>
      <c r="F115" s="666"/>
      <c r="G115" s="705"/>
      <c r="H115" s="668"/>
      <c r="I115" s="706"/>
      <c r="J115" s="668"/>
      <c r="K115" s="706"/>
      <c r="L115" s="709" t="s">
        <v>390</v>
      </c>
      <c r="M115" s="708"/>
      <c r="N115" s="672">
        <f>ROUNDUP(U115/P115,-1)</f>
        <v>25000</v>
      </c>
      <c r="O115" s="671" t="s">
        <v>123</v>
      </c>
      <c r="P115" s="686">
        <v>2</v>
      </c>
      <c r="Q115" s="671"/>
      <c r="R115" s="674"/>
      <c r="S115" s="671" t="s">
        <v>153</v>
      </c>
      <c r="T115" s="671"/>
      <c r="U115" s="676">
        <v>50000</v>
      </c>
      <c r="Y115" s="649"/>
    </row>
    <row r="116" spans="1:25" ht="19.5" hidden="1" customHeight="1">
      <c r="A116" s="702"/>
      <c r="B116" s="703"/>
      <c r="C116" s="704" t="s">
        <v>426</v>
      </c>
      <c r="D116" s="666">
        <v>0</v>
      </c>
      <c r="E116" s="666">
        <f>SUM(H116:K116)</f>
        <v>0</v>
      </c>
      <c r="F116" s="666">
        <f>E116-D116</f>
        <v>0</v>
      </c>
      <c r="G116" s="705">
        <v>0</v>
      </c>
      <c r="H116" s="668">
        <v>0</v>
      </c>
      <c r="I116" s="668">
        <v>0</v>
      </c>
      <c r="J116" s="668">
        <v>0</v>
      </c>
      <c r="K116" s="668">
        <v>0</v>
      </c>
      <c r="L116" s="715" t="s">
        <v>245</v>
      </c>
      <c r="M116" s="708"/>
      <c r="N116" s="672"/>
      <c r="O116" s="671"/>
      <c r="P116" s="673"/>
      <c r="Q116" s="671"/>
      <c r="R116" s="674"/>
      <c r="S116" s="671"/>
      <c r="T116" s="671"/>
      <c r="U116" s="675">
        <f>U117</f>
        <v>0</v>
      </c>
      <c r="W116" s="629">
        <f>SUM(H116:K116)</f>
        <v>0</v>
      </c>
      <c r="X116" s="629">
        <f>E116-W116</f>
        <v>0</v>
      </c>
      <c r="Y116" s="649">
        <f>U116-W116</f>
        <v>0</v>
      </c>
    </row>
    <row r="117" spans="1:25" ht="19.5" hidden="1" customHeight="1">
      <c r="A117" s="702"/>
      <c r="B117" s="703"/>
      <c r="C117" s="704"/>
      <c r="D117" s="666"/>
      <c r="E117" s="666"/>
      <c r="F117" s="666"/>
      <c r="G117" s="705"/>
      <c r="H117" s="668"/>
      <c r="I117" s="706"/>
      <c r="J117" s="668"/>
      <c r="K117" s="706"/>
      <c r="L117" s="716" t="s">
        <v>426</v>
      </c>
      <c r="M117" s="708"/>
      <c r="N117" s="672">
        <f>U117/P117</f>
        <v>0</v>
      </c>
      <c r="O117" s="671" t="s">
        <v>123</v>
      </c>
      <c r="P117" s="673">
        <v>12</v>
      </c>
      <c r="Q117" s="671"/>
      <c r="R117" s="674"/>
      <c r="S117" s="671" t="s">
        <v>153</v>
      </c>
      <c r="T117" s="671"/>
      <c r="U117" s="676">
        <v>0</v>
      </c>
      <c r="Y117" s="649"/>
    </row>
    <row r="118" spans="1:25" ht="19.5" customHeight="1">
      <c r="A118" s="702"/>
      <c r="B118" s="703"/>
      <c r="C118" s="704" t="s">
        <v>387</v>
      </c>
      <c r="D118" s="666">
        <v>2892000</v>
      </c>
      <c r="E118" s="666">
        <f>SUM(H118:K118)</f>
        <v>2792000</v>
      </c>
      <c r="F118" s="666">
        <f>E118-D118</f>
        <v>-100000</v>
      </c>
      <c r="G118" s="705">
        <f>F118/D118*100</f>
        <v>-3.4578146611341634</v>
      </c>
      <c r="H118" s="668">
        <v>300000</v>
      </c>
      <c r="I118" s="668">
        <v>0</v>
      </c>
      <c r="J118" s="668">
        <v>2492000</v>
      </c>
      <c r="K118" s="668">
        <v>0</v>
      </c>
      <c r="L118" s="715" t="s">
        <v>395</v>
      </c>
      <c r="M118" s="708"/>
      <c r="N118" s="672"/>
      <c r="O118" s="671"/>
      <c r="P118" s="673"/>
      <c r="Q118" s="671"/>
      <c r="R118" s="674"/>
      <c r="S118" s="671"/>
      <c r="T118" s="671"/>
      <c r="U118" s="675">
        <f>SUM(U119:U128)</f>
        <v>2792000</v>
      </c>
      <c r="W118" s="629">
        <f>SUM(H118:K118)</f>
        <v>2792000</v>
      </c>
      <c r="X118" s="629">
        <f>E118-W118</f>
        <v>0</v>
      </c>
      <c r="Y118" s="649">
        <f>U118-W118</f>
        <v>0</v>
      </c>
    </row>
    <row r="119" spans="1:25" ht="19.5" customHeight="1">
      <c r="A119" s="702"/>
      <c r="B119" s="703"/>
      <c r="C119" s="704"/>
      <c r="D119" s="666"/>
      <c r="E119" s="666"/>
      <c r="F119" s="666"/>
      <c r="G119" s="705"/>
      <c r="H119" s="668"/>
      <c r="I119" s="668"/>
      <c r="J119" s="668"/>
      <c r="K119" s="668"/>
      <c r="L119" s="709" t="s">
        <v>273</v>
      </c>
      <c r="M119" s="708"/>
      <c r="N119" s="672">
        <f t="shared" ref="N119:N120" si="12">ROUNDUP(U119/P119,-1)</f>
        <v>1430</v>
      </c>
      <c r="O119" s="671" t="s">
        <v>123</v>
      </c>
      <c r="P119" s="686">
        <v>42</v>
      </c>
      <c r="Q119" s="671"/>
      <c r="R119" s="674"/>
      <c r="S119" s="671" t="s">
        <v>153</v>
      </c>
      <c r="T119" s="671"/>
      <c r="U119" s="676">
        <v>60000</v>
      </c>
      <c r="Y119" s="649"/>
    </row>
    <row r="120" spans="1:25" ht="19.5" customHeight="1">
      <c r="A120" s="702"/>
      <c r="B120" s="703"/>
      <c r="C120" s="704"/>
      <c r="D120" s="666"/>
      <c r="E120" s="666"/>
      <c r="F120" s="666"/>
      <c r="G120" s="705"/>
      <c r="H120" s="668"/>
      <c r="I120" s="668"/>
      <c r="J120" s="668"/>
      <c r="K120" s="668"/>
      <c r="L120" s="709" t="s">
        <v>277</v>
      </c>
      <c r="M120" s="708"/>
      <c r="N120" s="672">
        <f t="shared" si="12"/>
        <v>2000</v>
      </c>
      <c r="O120" s="671" t="s">
        <v>123</v>
      </c>
      <c r="P120" s="686">
        <v>20</v>
      </c>
      <c r="Q120" s="671"/>
      <c r="R120" s="674"/>
      <c r="S120" s="671" t="s">
        <v>153</v>
      </c>
      <c r="T120" s="671"/>
      <c r="U120" s="676">
        <v>40000</v>
      </c>
      <c r="Y120" s="649"/>
    </row>
    <row r="121" spans="1:25" ht="19.5" customHeight="1">
      <c r="A121" s="702"/>
      <c r="B121" s="703"/>
      <c r="C121" s="704"/>
      <c r="D121" s="666"/>
      <c r="E121" s="666"/>
      <c r="F121" s="666"/>
      <c r="G121" s="705"/>
      <c r="H121" s="668"/>
      <c r="I121" s="706"/>
      <c r="J121" s="668"/>
      <c r="K121" s="706"/>
      <c r="L121" s="709" t="s">
        <v>270</v>
      </c>
      <c r="M121" s="708"/>
      <c r="N121" s="672">
        <f>ROUNDUP(U121/P121,-1)</f>
        <v>18000</v>
      </c>
      <c r="O121" s="671" t="s">
        <v>123</v>
      </c>
      <c r="P121" s="686">
        <v>20</v>
      </c>
      <c r="Q121" s="671"/>
      <c r="R121" s="674"/>
      <c r="S121" s="671" t="s">
        <v>153</v>
      </c>
      <c r="T121" s="671"/>
      <c r="U121" s="676">
        <v>360000</v>
      </c>
      <c r="Y121" s="649"/>
    </row>
    <row r="122" spans="1:25" ht="19.5" customHeight="1">
      <c r="A122" s="702"/>
      <c r="B122" s="703"/>
      <c r="C122" s="704"/>
      <c r="D122" s="666"/>
      <c r="E122" s="666"/>
      <c r="F122" s="666"/>
      <c r="G122" s="705"/>
      <c r="H122" s="668"/>
      <c r="I122" s="706"/>
      <c r="J122" s="668"/>
      <c r="K122" s="706"/>
      <c r="L122" s="709" t="s">
        <v>278</v>
      </c>
      <c r="M122" s="708"/>
      <c r="N122" s="672">
        <f t="shared" ref="N122:N127" si="13">U122/P122</f>
        <v>5000</v>
      </c>
      <c r="O122" s="671" t="s">
        <v>123</v>
      </c>
      <c r="P122" s="686">
        <v>20</v>
      </c>
      <c r="Q122" s="671"/>
      <c r="R122" s="674"/>
      <c r="S122" s="671" t="s">
        <v>153</v>
      </c>
      <c r="T122" s="671"/>
      <c r="U122" s="676">
        <v>100000</v>
      </c>
      <c r="Y122" s="649"/>
    </row>
    <row r="123" spans="1:25" ht="19.5" customHeight="1">
      <c r="A123" s="702"/>
      <c r="B123" s="703"/>
      <c r="C123" s="704"/>
      <c r="D123" s="666"/>
      <c r="E123" s="666"/>
      <c r="F123" s="666"/>
      <c r="G123" s="705"/>
      <c r="H123" s="668"/>
      <c r="I123" s="706"/>
      <c r="J123" s="668"/>
      <c r="K123" s="706"/>
      <c r="L123" s="709" t="s">
        <v>284</v>
      </c>
      <c r="M123" s="708"/>
      <c r="N123" s="822">
        <f t="shared" si="13"/>
        <v>270000</v>
      </c>
      <c r="O123" s="671" t="s">
        <v>123</v>
      </c>
      <c r="P123" s="686">
        <v>3</v>
      </c>
      <c r="Q123" s="671"/>
      <c r="R123" s="674"/>
      <c r="S123" s="671" t="s">
        <v>153</v>
      </c>
      <c r="T123" s="671"/>
      <c r="U123" s="676">
        <v>810000</v>
      </c>
      <c r="Y123" s="649"/>
    </row>
    <row r="124" spans="1:25" ht="19.5" customHeight="1">
      <c r="A124" s="702"/>
      <c r="B124" s="703"/>
      <c r="C124" s="704"/>
      <c r="D124" s="666"/>
      <c r="E124" s="666"/>
      <c r="F124" s="666"/>
      <c r="G124" s="705"/>
      <c r="H124" s="668"/>
      <c r="I124" s="706"/>
      <c r="J124" s="668"/>
      <c r="K124" s="706"/>
      <c r="L124" s="709" t="s">
        <v>398</v>
      </c>
      <c r="M124" s="708"/>
      <c r="N124" s="822">
        <f t="shared" si="13"/>
        <v>400000</v>
      </c>
      <c r="O124" s="671" t="s">
        <v>123</v>
      </c>
      <c r="P124" s="686">
        <v>1</v>
      </c>
      <c r="Q124" s="671"/>
      <c r="R124" s="674"/>
      <c r="S124" s="671" t="s">
        <v>153</v>
      </c>
      <c r="T124" s="671"/>
      <c r="U124" s="676">
        <v>400000</v>
      </c>
      <c r="Y124" s="649"/>
    </row>
    <row r="125" spans="1:25" ht="19.5" customHeight="1">
      <c r="A125" s="702"/>
      <c r="B125" s="703"/>
      <c r="C125" s="704"/>
      <c r="D125" s="666"/>
      <c r="E125" s="666"/>
      <c r="F125" s="666"/>
      <c r="G125" s="705"/>
      <c r="H125" s="668"/>
      <c r="I125" s="706"/>
      <c r="J125" s="668"/>
      <c r="K125" s="706"/>
      <c r="L125" s="709" t="s">
        <v>391</v>
      </c>
      <c r="M125" s="708"/>
      <c r="N125" s="672">
        <f t="shared" si="13"/>
        <v>420000</v>
      </c>
      <c r="O125" s="671" t="s">
        <v>123</v>
      </c>
      <c r="P125" s="686">
        <v>1</v>
      </c>
      <c r="Q125" s="671"/>
      <c r="R125" s="674"/>
      <c r="S125" s="671" t="s">
        <v>153</v>
      </c>
      <c r="T125" s="671"/>
      <c r="U125" s="676">
        <v>420000</v>
      </c>
      <c r="Y125" s="649"/>
    </row>
    <row r="126" spans="1:25" ht="19.5" customHeight="1">
      <c r="A126" s="702"/>
      <c r="B126" s="703"/>
      <c r="C126" s="704"/>
      <c r="D126" s="666"/>
      <c r="E126" s="666"/>
      <c r="F126" s="666"/>
      <c r="G126" s="705"/>
      <c r="H126" s="668"/>
      <c r="I126" s="706"/>
      <c r="J126" s="668"/>
      <c r="K126" s="706"/>
      <c r="L126" s="709" t="s">
        <v>269</v>
      </c>
      <c r="M126" s="708"/>
      <c r="N126" s="672">
        <f t="shared" si="13"/>
        <v>100000</v>
      </c>
      <c r="O126" s="671" t="s">
        <v>123</v>
      </c>
      <c r="P126" s="686">
        <v>4</v>
      </c>
      <c r="Q126" s="671"/>
      <c r="R126" s="674"/>
      <c r="S126" s="671" t="s">
        <v>153</v>
      </c>
      <c r="T126" s="671"/>
      <c r="U126" s="676">
        <v>400000</v>
      </c>
      <c r="Y126" s="649"/>
    </row>
    <row r="127" spans="1:25" ht="19.5" customHeight="1">
      <c r="A127" s="702"/>
      <c r="B127" s="703"/>
      <c r="C127" s="704"/>
      <c r="D127" s="666"/>
      <c r="E127" s="666"/>
      <c r="F127" s="666"/>
      <c r="G127" s="705"/>
      <c r="H127" s="668"/>
      <c r="I127" s="706"/>
      <c r="J127" s="668"/>
      <c r="K127" s="706"/>
      <c r="L127" s="709" t="s">
        <v>266</v>
      </c>
      <c r="M127" s="708"/>
      <c r="N127" s="672">
        <f t="shared" si="13"/>
        <v>40000</v>
      </c>
      <c r="O127" s="671" t="s">
        <v>123</v>
      </c>
      <c r="P127" s="686">
        <v>4</v>
      </c>
      <c r="Q127" s="671"/>
      <c r="R127" s="674"/>
      <c r="S127" s="671" t="s">
        <v>153</v>
      </c>
      <c r="T127" s="671"/>
      <c r="U127" s="676">
        <v>160000</v>
      </c>
      <c r="Y127" s="649"/>
    </row>
    <row r="128" spans="1:25" ht="19.5" customHeight="1">
      <c r="A128" s="702"/>
      <c r="B128" s="703"/>
      <c r="C128" s="704"/>
      <c r="D128" s="666"/>
      <c r="E128" s="666"/>
      <c r="F128" s="666"/>
      <c r="G128" s="705"/>
      <c r="H128" s="668"/>
      <c r="I128" s="706"/>
      <c r="J128" s="668"/>
      <c r="K128" s="706"/>
      <c r="L128" s="709" t="s">
        <v>419</v>
      </c>
      <c r="M128" s="708"/>
      <c r="N128" s="672">
        <f>ROUNDUP(U128/P128,-1)</f>
        <v>1050</v>
      </c>
      <c r="O128" s="671" t="s">
        <v>123</v>
      </c>
      <c r="P128" s="686">
        <v>40</v>
      </c>
      <c r="Q128" s="671"/>
      <c r="R128" s="674"/>
      <c r="S128" s="671" t="s">
        <v>153</v>
      </c>
      <c r="T128" s="671"/>
      <c r="U128" s="676">
        <v>42000</v>
      </c>
      <c r="Y128" s="649"/>
    </row>
    <row r="129" spans="1:25" ht="19.5" customHeight="1">
      <c r="A129" s="702"/>
      <c r="B129" s="703"/>
      <c r="C129" s="704" t="s">
        <v>260</v>
      </c>
      <c r="D129" s="666">
        <v>480000</v>
      </c>
      <c r="E129" s="666">
        <f>SUM(H129:J129)</f>
        <v>480000</v>
      </c>
      <c r="F129" s="666">
        <f>E129-D129</f>
        <v>0</v>
      </c>
      <c r="G129" s="705">
        <v>0</v>
      </c>
      <c r="H129" s="668">
        <v>0</v>
      </c>
      <c r="I129" s="668">
        <v>0</v>
      </c>
      <c r="J129" s="668">
        <v>480000</v>
      </c>
      <c r="K129" s="668">
        <v>0</v>
      </c>
      <c r="L129" s="715" t="s">
        <v>259</v>
      </c>
      <c r="M129" s="708"/>
      <c r="N129" s="672"/>
      <c r="O129" s="671"/>
      <c r="P129" s="673"/>
      <c r="Q129" s="671"/>
      <c r="R129" s="674"/>
      <c r="S129" s="671"/>
      <c r="T129" s="671"/>
      <c r="U129" s="675">
        <f>SUM(U130:U131)</f>
        <v>480000</v>
      </c>
      <c r="W129" s="629">
        <f>SUM(H129:K129)</f>
        <v>480000</v>
      </c>
      <c r="X129" s="629">
        <f>E129-W129</f>
        <v>0</v>
      </c>
      <c r="Y129" s="649">
        <f>U129-W129</f>
        <v>0</v>
      </c>
    </row>
    <row r="130" spans="1:25" ht="27" customHeight="1">
      <c r="A130" s="702"/>
      <c r="B130" s="703"/>
      <c r="C130" s="704"/>
      <c r="D130" s="666"/>
      <c r="E130" s="666"/>
      <c r="F130" s="666"/>
      <c r="G130" s="705"/>
      <c r="H130" s="668"/>
      <c r="I130" s="706"/>
      <c r="J130" s="668"/>
      <c r="K130" s="706"/>
      <c r="L130" s="823" t="s">
        <v>522</v>
      </c>
      <c r="M130" s="708"/>
      <c r="N130" s="672">
        <f>U130/P130/R130</f>
        <v>10000</v>
      </c>
      <c r="O130" s="671" t="s">
        <v>123</v>
      </c>
      <c r="P130" s="686">
        <v>3</v>
      </c>
      <c r="Q130" s="671" t="s">
        <v>123</v>
      </c>
      <c r="R130" s="674">
        <v>4</v>
      </c>
      <c r="S130" s="671" t="s">
        <v>153</v>
      </c>
      <c r="T130" s="671"/>
      <c r="U130" s="676">
        <v>120000</v>
      </c>
      <c r="Y130" s="649"/>
    </row>
    <row r="131" spans="1:25" ht="19.5" customHeight="1">
      <c r="A131" s="702"/>
      <c r="B131" s="703"/>
      <c r="C131" s="704"/>
      <c r="D131" s="666"/>
      <c r="E131" s="666"/>
      <c r="F131" s="666"/>
      <c r="G131" s="705"/>
      <c r="H131" s="668"/>
      <c r="I131" s="706"/>
      <c r="J131" s="668"/>
      <c r="K131" s="706"/>
      <c r="L131" s="716" t="s">
        <v>91</v>
      </c>
      <c r="M131" s="708"/>
      <c r="N131" s="672">
        <f>U131/P131/R131</f>
        <v>36000</v>
      </c>
      <c r="O131" s="671" t="s">
        <v>123</v>
      </c>
      <c r="P131" s="686">
        <v>1</v>
      </c>
      <c r="Q131" s="671" t="s">
        <v>123</v>
      </c>
      <c r="R131" s="674">
        <v>10</v>
      </c>
      <c r="S131" s="671" t="s">
        <v>153</v>
      </c>
      <c r="T131" s="671"/>
      <c r="U131" s="676">
        <v>360000</v>
      </c>
      <c r="Y131" s="649"/>
    </row>
    <row r="132" spans="1:25" ht="19.5" customHeight="1">
      <c r="A132" s="702"/>
      <c r="B132" s="703"/>
      <c r="C132" s="704" t="s">
        <v>408</v>
      </c>
      <c r="D132" s="666">
        <v>40000</v>
      </c>
      <c r="E132" s="666">
        <f>SUM(H132:J132)</f>
        <v>40000</v>
      </c>
      <c r="F132" s="666">
        <f>E132-D132</f>
        <v>0</v>
      </c>
      <c r="G132" s="705">
        <v>0</v>
      </c>
      <c r="H132" s="668">
        <v>0</v>
      </c>
      <c r="I132" s="668">
        <v>0</v>
      </c>
      <c r="J132" s="668">
        <v>40000</v>
      </c>
      <c r="K132" s="668">
        <v>0</v>
      </c>
      <c r="L132" s="715" t="s">
        <v>396</v>
      </c>
      <c r="M132" s="708"/>
      <c r="N132" s="672"/>
      <c r="O132" s="671"/>
      <c r="P132" s="673"/>
      <c r="Q132" s="671"/>
      <c r="R132" s="674"/>
      <c r="S132" s="671"/>
      <c r="T132" s="671"/>
      <c r="U132" s="675">
        <f>U133</f>
        <v>40000</v>
      </c>
      <c r="W132" s="629">
        <f>SUM(H132:K132)</f>
        <v>40000</v>
      </c>
      <c r="X132" s="629">
        <f>E132-W132</f>
        <v>0</v>
      </c>
      <c r="Y132" s="649">
        <f>U132-W132</f>
        <v>0</v>
      </c>
    </row>
    <row r="133" spans="1:25" ht="19.5" customHeight="1">
      <c r="A133" s="702"/>
      <c r="B133" s="703"/>
      <c r="C133" s="704"/>
      <c r="D133" s="666"/>
      <c r="E133" s="666"/>
      <c r="F133" s="666"/>
      <c r="G133" s="705"/>
      <c r="H133" s="668"/>
      <c r="I133" s="706"/>
      <c r="J133" s="668"/>
      <c r="K133" s="706"/>
      <c r="L133" s="716" t="s">
        <v>271</v>
      </c>
      <c r="M133" s="708"/>
      <c r="N133" s="672">
        <f>U133/P133/R133</f>
        <v>1666.6666666666667</v>
      </c>
      <c r="O133" s="671" t="s">
        <v>123</v>
      </c>
      <c r="P133" s="686">
        <v>6</v>
      </c>
      <c r="Q133" s="671" t="s">
        <v>123</v>
      </c>
      <c r="R133" s="674">
        <v>4</v>
      </c>
      <c r="S133" s="671" t="s">
        <v>153</v>
      </c>
      <c r="T133" s="671"/>
      <c r="U133" s="676">
        <v>40000</v>
      </c>
      <c r="Y133" s="649"/>
    </row>
    <row r="134" spans="1:25" ht="19.5" hidden="1" customHeight="1">
      <c r="A134" s="702"/>
      <c r="B134" s="703"/>
      <c r="C134" s="704" t="s">
        <v>376</v>
      </c>
      <c r="D134" s="666">
        <v>0</v>
      </c>
      <c r="E134" s="666">
        <v>0</v>
      </c>
      <c r="F134" s="666">
        <f>E134-D134</f>
        <v>0</v>
      </c>
      <c r="G134" s="705" t="e">
        <f t="shared" si="0"/>
        <v>#DIV/0!</v>
      </c>
      <c r="H134" s="668">
        <v>0</v>
      </c>
      <c r="I134" s="668">
        <v>0</v>
      </c>
      <c r="J134" s="668">
        <v>0</v>
      </c>
      <c r="K134" s="668">
        <v>0</v>
      </c>
      <c r="L134" s="715" t="s">
        <v>373</v>
      </c>
      <c r="M134" s="708"/>
      <c r="N134" s="672"/>
      <c r="O134" s="671"/>
      <c r="P134" s="673">
        <v>2</v>
      </c>
      <c r="Q134" s="671"/>
      <c r="R134" s="674"/>
      <c r="S134" s="671"/>
      <c r="T134" s="671"/>
      <c r="U134" s="675">
        <f>U135</f>
        <v>0</v>
      </c>
      <c r="W134" s="629">
        <f>SUM(H134:K134)</f>
        <v>0</v>
      </c>
      <c r="X134" s="629">
        <f>E134-W134</f>
        <v>0</v>
      </c>
      <c r="Y134" s="649">
        <f>U134-W134</f>
        <v>0</v>
      </c>
    </row>
    <row r="135" spans="1:25" ht="19.5" hidden="1" customHeight="1">
      <c r="A135" s="702"/>
      <c r="B135" s="703"/>
      <c r="C135" s="704"/>
      <c r="D135" s="666"/>
      <c r="E135" s="666"/>
      <c r="F135" s="666"/>
      <c r="G135" s="705"/>
      <c r="H135" s="668"/>
      <c r="I135" s="706"/>
      <c r="J135" s="668"/>
      <c r="K135" s="706"/>
      <c r="L135" s="716" t="s">
        <v>409</v>
      </c>
      <c r="M135" s="708"/>
      <c r="N135" s="672">
        <f>U135/P135</f>
        <v>0</v>
      </c>
      <c r="O135" s="671" t="s">
        <v>123</v>
      </c>
      <c r="P135" s="686">
        <v>2</v>
      </c>
      <c r="Q135" s="671"/>
      <c r="R135" s="674"/>
      <c r="S135" s="671" t="s">
        <v>153</v>
      </c>
      <c r="T135" s="671"/>
      <c r="U135" s="676">
        <v>0</v>
      </c>
      <c r="Y135" s="649"/>
    </row>
    <row r="136" spans="1:25" ht="19.5" hidden="1" customHeight="1">
      <c r="A136" s="702"/>
      <c r="B136" s="703"/>
      <c r="C136" s="704" t="s">
        <v>248</v>
      </c>
      <c r="D136" s="666">
        <v>0</v>
      </c>
      <c r="E136" s="666">
        <f>SUM(H136:K136)</f>
        <v>0</v>
      </c>
      <c r="F136" s="666">
        <f>E136-D136</f>
        <v>0</v>
      </c>
      <c r="G136" s="705" t="e">
        <f>F136/D136*100</f>
        <v>#DIV/0!</v>
      </c>
      <c r="H136" s="668">
        <v>0</v>
      </c>
      <c r="I136" s="668">
        <v>0</v>
      </c>
      <c r="J136" s="668">
        <v>0</v>
      </c>
      <c r="K136" s="668">
        <v>0</v>
      </c>
      <c r="L136" s="707" t="s">
        <v>275</v>
      </c>
      <c r="M136" s="708"/>
      <c r="N136" s="672"/>
      <c r="O136" s="671"/>
      <c r="P136" s="673"/>
      <c r="Q136" s="671"/>
      <c r="R136" s="674"/>
      <c r="S136" s="671"/>
      <c r="T136" s="671"/>
      <c r="U136" s="675">
        <f>U137</f>
        <v>0</v>
      </c>
      <c r="W136" s="629">
        <f>SUM(H136:K136)</f>
        <v>0</v>
      </c>
      <c r="X136" s="629">
        <f>E136-W136</f>
        <v>0</v>
      </c>
      <c r="Y136" s="649">
        <f>U136-W136</f>
        <v>0</v>
      </c>
    </row>
    <row r="137" spans="1:25" ht="19.5" hidden="1" customHeight="1">
      <c r="A137" s="702"/>
      <c r="B137" s="703"/>
      <c r="C137" s="704"/>
      <c r="D137" s="666"/>
      <c r="E137" s="666"/>
      <c r="F137" s="666"/>
      <c r="G137" s="705"/>
      <c r="H137" s="668"/>
      <c r="I137" s="706"/>
      <c r="J137" s="668"/>
      <c r="K137" s="706"/>
      <c r="L137" s="709" t="s">
        <v>248</v>
      </c>
      <c r="M137" s="708"/>
      <c r="N137" s="672">
        <f>U137/P137</f>
        <v>0</v>
      </c>
      <c r="O137" s="671" t="s">
        <v>123</v>
      </c>
      <c r="P137" s="686">
        <v>2</v>
      </c>
      <c r="Q137" s="671"/>
      <c r="R137" s="674"/>
      <c r="S137" s="671" t="s">
        <v>153</v>
      </c>
      <c r="T137" s="671"/>
      <c r="U137" s="676">
        <v>0</v>
      </c>
      <c r="Y137" s="649"/>
    </row>
    <row r="138" spans="1:25" ht="19.5" customHeight="1">
      <c r="A138" s="702"/>
      <c r="B138" s="703"/>
      <c r="C138" s="704" t="s">
        <v>258</v>
      </c>
      <c r="D138" s="666">
        <v>1642000</v>
      </c>
      <c r="E138" s="666">
        <f>SUM(H138:K138)</f>
        <v>1642000</v>
      </c>
      <c r="F138" s="666">
        <f>E138-D138</f>
        <v>0</v>
      </c>
      <c r="G138" s="705">
        <f t="shared" si="0"/>
        <v>0</v>
      </c>
      <c r="H138" s="668">
        <f>U138</f>
        <v>1642000</v>
      </c>
      <c r="I138" s="668">
        <v>0</v>
      </c>
      <c r="J138" s="668">
        <v>0</v>
      </c>
      <c r="K138" s="668">
        <v>0</v>
      </c>
      <c r="L138" s="767" t="s">
        <v>257</v>
      </c>
      <c r="M138" s="708"/>
      <c r="N138" s="672"/>
      <c r="O138" s="671"/>
      <c r="P138" s="693"/>
      <c r="Q138" s="671"/>
      <c r="R138" s="674"/>
      <c r="S138" s="671"/>
      <c r="T138" s="671"/>
      <c r="U138" s="675">
        <f>SUM(U139:U143)</f>
        <v>1642000</v>
      </c>
      <c r="Y138" s="649"/>
    </row>
    <row r="139" spans="1:25" ht="19.5" customHeight="1">
      <c r="A139" s="702"/>
      <c r="B139" s="703"/>
      <c r="C139" s="704"/>
      <c r="D139" s="666"/>
      <c r="E139" s="666"/>
      <c r="F139" s="666"/>
      <c r="G139" s="705"/>
      <c r="H139" s="668"/>
      <c r="I139" s="706"/>
      <c r="J139" s="668"/>
      <c r="K139" s="706"/>
      <c r="L139" s="716" t="s">
        <v>19</v>
      </c>
      <c r="M139" s="708"/>
      <c r="N139" s="672">
        <v>40000</v>
      </c>
      <c r="O139" s="671" t="s">
        <v>123</v>
      </c>
      <c r="P139" s="674">
        <v>4</v>
      </c>
      <c r="Q139" s="671" t="s">
        <v>123</v>
      </c>
      <c r="R139" s="686">
        <v>1</v>
      </c>
      <c r="S139" s="671" t="s">
        <v>153</v>
      </c>
      <c r="T139" s="671"/>
      <c r="U139" s="676">
        <f>N139*P139*R139</f>
        <v>160000</v>
      </c>
      <c r="Y139" s="649"/>
    </row>
    <row r="140" spans="1:25" ht="19.5" customHeight="1">
      <c r="A140" s="702"/>
      <c r="B140" s="703"/>
      <c r="C140" s="704"/>
      <c r="D140" s="666"/>
      <c r="E140" s="666"/>
      <c r="F140" s="666"/>
      <c r="G140" s="705"/>
      <c r="H140" s="668"/>
      <c r="I140" s="706"/>
      <c r="J140" s="668"/>
      <c r="K140" s="706"/>
      <c r="L140" s="716" t="s">
        <v>255</v>
      </c>
      <c r="M140" s="708"/>
      <c r="N140" s="672">
        <v>500</v>
      </c>
      <c r="O140" s="671" t="s">
        <v>123</v>
      </c>
      <c r="P140" s="674">
        <v>4</v>
      </c>
      <c r="Q140" s="671" t="s">
        <v>123</v>
      </c>
      <c r="R140" s="695">
        <v>365</v>
      </c>
      <c r="S140" s="671" t="s">
        <v>153</v>
      </c>
      <c r="T140" s="671"/>
      <c r="U140" s="676">
        <f t="shared" ref="U140:U143" si="14">N140*P140*R140</f>
        <v>730000</v>
      </c>
      <c r="Y140" s="649"/>
    </row>
    <row r="141" spans="1:25" ht="19.5" customHeight="1">
      <c r="A141" s="702"/>
      <c r="B141" s="703"/>
      <c r="C141" s="704"/>
      <c r="D141" s="666"/>
      <c r="E141" s="666"/>
      <c r="F141" s="666"/>
      <c r="G141" s="705"/>
      <c r="H141" s="668"/>
      <c r="I141" s="706"/>
      <c r="J141" s="668"/>
      <c r="K141" s="706"/>
      <c r="L141" s="716" t="s">
        <v>253</v>
      </c>
      <c r="M141" s="708"/>
      <c r="N141" s="672">
        <v>5000</v>
      </c>
      <c r="O141" s="671" t="s">
        <v>123</v>
      </c>
      <c r="P141" s="674">
        <v>4</v>
      </c>
      <c r="Q141" s="671" t="s">
        <v>123</v>
      </c>
      <c r="R141" s="673">
        <v>12</v>
      </c>
      <c r="S141" s="671" t="s">
        <v>153</v>
      </c>
      <c r="T141" s="671"/>
      <c r="U141" s="676">
        <f t="shared" si="14"/>
        <v>240000</v>
      </c>
      <c r="Y141" s="649"/>
    </row>
    <row r="142" spans="1:25" ht="19.5" customHeight="1">
      <c r="A142" s="702"/>
      <c r="B142" s="703"/>
      <c r="C142" s="704"/>
      <c r="D142" s="666"/>
      <c r="E142" s="666"/>
      <c r="F142" s="666"/>
      <c r="G142" s="705"/>
      <c r="H142" s="668"/>
      <c r="I142" s="706"/>
      <c r="J142" s="668"/>
      <c r="K142" s="706"/>
      <c r="L142" s="716" t="s">
        <v>251</v>
      </c>
      <c r="M142" s="708"/>
      <c r="N142" s="672">
        <v>20000</v>
      </c>
      <c r="O142" s="671" t="s">
        <v>123</v>
      </c>
      <c r="P142" s="674">
        <v>4</v>
      </c>
      <c r="Q142" s="671" t="s">
        <v>123</v>
      </c>
      <c r="R142" s="686">
        <v>4</v>
      </c>
      <c r="S142" s="671" t="s">
        <v>153</v>
      </c>
      <c r="T142" s="671"/>
      <c r="U142" s="676">
        <f t="shared" si="14"/>
        <v>320000</v>
      </c>
      <c r="Y142" s="649"/>
    </row>
    <row r="143" spans="1:25" ht="19.5" customHeight="1">
      <c r="A143" s="702"/>
      <c r="B143" s="703"/>
      <c r="C143" s="704"/>
      <c r="D143" s="666"/>
      <c r="E143" s="666"/>
      <c r="F143" s="666"/>
      <c r="G143" s="705"/>
      <c r="H143" s="668"/>
      <c r="I143" s="706"/>
      <c r="J143" s="668"/>
      <c r="K143" s="706"/>
      <c r="L143" s="716" t="s">
        <v>24</v>
      </c>
      <c r="M143" s="708"/>
      <c r="N143" s="672">
        <v>12000</v>
      </c>
      <c r="O143" s="671" t="s">
        <v>123</v>
      </c>
      <c r="P143" s="674">
        <v>4</v>
      </c>
      <c r="Q143" s="671"/>
      <c r="R143" s="686">
        <v>4</v>
      </c>
      <c r="S143" s="671" t="s">
        <v>153</v>
      </c>
      <c r="T143" s="671"/>
      <c r="U143" s="676">
        <f t="shared" si="14"/>
        <v>192000</v>
      </c>
      <c r="Y143" s="649"/>
    </row>
    <row r="144" spans="1:25" ht="19.5" customHeight="1">
      <c r="A144" s="702"/>
      <c r="B144" s="703"/>
      <c r="C144" s="704" t="s">
        <v>285</v>
      </c>
      <c r="D144" s="666">
        <v>0</v>
      </c>
      <c r="E144" s="666">
        <f>SUM(H144:K144)</f>
        <v>3000000</v>
      </c>
      <c r="F144" s="666">
        <f>E144-D144</f>
        <v>3000000</v>
      </c>
      <c r="G144" s="705">
        <v>0</v>
      </c>
      <c r="H144" s="668">
        <f>U144</f>
        <v>3000000</v>
      </c>
      <c r="I144" s="668">
        <v>0</v>
      </c>
      <c r="J144" s="668">
        <v>0</v>
      </c>
      <c r="K144" s="668">
        <v>0</v>
      </c>
      <c r="L144" s="715" t="s">
        <v>279</v>
      </c>
      <c r="M144" s="708"/>
      <c r="N144" s="672"/>
      <c r="O144" s="671"/>
      <c r="P144" s="693"/>
      <c r="Q144" s="671"/>
      <c r="R144" s="674"/>
      <c r="S144" s="671"/>
      <c r="T144" s="671"/>
      <c r="U144" s="675">
        <f>U145</f>
        <v>3000000</v>
      </c>
      <c r="Y144" s="649"/>
    </row>
    <row r="145" spans="1:25" ht="19.5" customHeight="1">
      <c r="A145" s="702"/>
      <c r="B145" s="703"/>
      <c r="C145" s="704"/>
      <c r="D145" s="666"/>
      <c r="E145" s="666"/>
      <c r="F145" s="666"/>
      <c r="G145" s="705"/>
      <c r="H145" s="668"/>
      <c r="I145" s="706"/>
      <c r="J145" s="668"/>
      <c r="K145" s="706"/>
      <c r="L145" s="716" t="s">
        <v>280</v>
      </c>
      <c r="M145" s="708"/>
      <c r="N145" s="672">
        <f>U145/P145</f>
        <v>3000000</v>
      </c>
      <c r="O145" s="671" t="s">
        <v>123</v>
      </c>
      <c r="P145" s="693">
        <v>1</v>
      </c>
      <c r="Q145" s="671"/>
      <c r="R145" s="674"/>
      <c r="S145" s="671" t="s">
        <v>153</v>
      </c>
      <c r="T145" s="671"/>
      <c r="U145" s="676">
        <v>3000000</v>
      </c>
      <c r="Y145" s="649"/>
    </row>
    <row r="146" spans="1:25" ht="19.5" hidden="1" customHeight="1">
      <c r="A146" s="702"/>
      <c r="B146" s="703"/>
      <c r="C146" s="704" t="s">
        <v>494</v>
      </c>
      <c r="D146" s="666">
        <v>0</v>
      </c>
      <c r="E146" s="666">
        <f>SUM(H146:K146)</f>
        <v>0</v>
      </c>
      <c r="F146" s="666">
        <f>E146-D146</f>
        <v>0</v>
      </c>
      <c r="G146" s="667">
        <v>0</v>
      </c>
      <c r="H146" s="668">
        <f>U146</f>
        <v>0</v>
      </c>
      <c r="I146" s="668">
        <v>0</v>
      </c>
      <c r="J146" s="668">
        <v>0</v>
      </c>
      <c r="K146" s="668">
        <v>0</v>
      </c>
      <c r="L146" s="715" t="s">
        <v>341</v>
      </c>
      <c r="M146" s="708"/>
      <c r="N146" s="672"/>
      <c r="O146" s="671"/>
      <c r="P146" s="693"/>
      <c r="Q146" s="671"/>
      <c r="R146" s="674"/>
      <c r="S146" s="671"/>
      <c r="T146" s="671"/>
      <c r="U146" s="675">
        <f>U147</f>
        <v>0</v>
      </c>
      <c r="W146" s="629">
        <f>SUM(H146:K146)</f>
        <v>0</v>
      </c>
      <c r="X146" s="629">
        <f>E146-W146</f>
        <v>0</v>
      </c>
      <c r="Y146" s="649">
        <f>U146-W146</f>
        <v>0</v>
      </c>
    </row>
    <row r="147" spans="1:25" ht="19.5" hidden="1" customHeight="1">
      <c r="A147" s="702"/>
      <c r="B147" s="703"/>
      <c r="C147" s="704"/>
      <c r="D147" s="666"/>
      <c r="E147" s="666"/>
      <c r="F147" s="666"/>
      <c r="G147" s="705"/>
      <c r="H147" s="668"/>
      <c r="I147" s="706"/>
      <c r="J147" s="668"/>
      <c r="K147" s="706"/>
      <c r="L147" s="716" t="s">
        <v>494</v>
      </c>
      <c r="M147" s="708"/>
      <c r="N147" s="672">
        <v>0</v>
      </c>
      <c r="O147" s="671" t="s">
        <v>123</v>
      </c>
      <c r="P147" s="693">
        <v>1</v>
      </c>
      <c r="Q147" s="671"/>
      <c r="R147" s="674"/>
      <c r="S147" s="671" t="s">
        <v>153</v>
      </c>
      <c r="T147" s="671"/>
      <c r="U147" s="676">
        <v>0</v>
      </c>
      <c r="Y147" s="649"/>
    </row>
    <row r="148" spans="1:25" ht="19.5" customHeight="1">
      <c r="A148" s="717" t="s">
        <v>109</v>
      </c>
      <c r="B148" s="718" t="s">
        <v>114</v>
      </c>
      <c r="C148" s="719"/>
      <c r="D148" s="690">
        <f>D149</f>
        <v>96340</v>
      </c>
      <c r="E148" s="690">
        <f>E149</f>
        <v>74410</v>
      </c>
      <c r="F148" s="690">
        <f>E148-D148</f>
        <v>-21930</v>
      </c>
      <c r="G148" s="720">
        <f t="shared" si="0"/>
        <v>-22.76313057919867</v>
      </c>
      <c r="H148" s="721">
        <f>H149</f>
        <v>21340</v>
      </c>
      <c r="I148" s="721">
        <f t="shared" ref="I148:K149" si="15">I149</f>
        <v>0</v>
      </c>
      <c r="J148" s="721">
        <f t="shared" si="15"/>
        <v>53070</v>
      </c>
      <c r="K148" s="721">
        <f t="shared" si="15"/>
        <v>0</v>
      </c>
      <c r="L148" s="768"/>
      <c r="M148" s="722"/>
      <c r="N148" s="722"/>
      <c r="O148" s="722"/>
      <c r="P148" s="722"/>
      <c r="Q148" s="722"/>
      <c r="R148" s="722"/>
      <c r="S148" s="722"/>
      <c r="T148" s="722"/>
      <c r="U148" s="723">
        <f>U149</f>
        <v>74410</v>
      </c>
      <c r="Y148" s="649"/>
    </row>
    <row r="149" spans="1:25" ht="19.5" hidden="1" customHeight="1">
      <c r="A149" s="702"/>
      <c r="B149" s="710" t="s">
        <v>109</v>
      </c>
      <c r="C149" s="711" t="s">
        <v>164</v>
      </c>
      <c r="D149" s="660">
        <f>D150</f>
        <v>96340</v>
      </c>
      <c r="E149" s="660">
        <f>E150</f>
        <v>74410</v>
      </c>
      <c r="F149" s="660">
        <f>E149-D149</f>
        <v>-21930</v>
      </c>
      <c r="G149" s="712">
        <f t="shared" si="0"/>
        <v>-22.76313057919867</v>
      </c>
      <c r="H149" s="694">
        <f>H150</f>
        <v>21340</v>
      </c>
      <c r="I149" s="694">
        <f t="shared" si="15"/>
        <v>0</v>
      </c>
      <c r="J149" s="694">
        <f t="shared" si="15"/>
        <v>53070</v>
      </c>
      <c r="K149" s="694">
        <f t="shared" si="15"/>
        <v>0</v>
      </c>
      <c r="L149" s="744"/>
      <c r="M149" s="713"/>
      <c r="N149" s="713"/>
      <c r="O149" s="713"/>
      <c r="P149" s="713"/>
      <c r="Q149" s="713"/>
      <c r="R149" s="713"/>
      <c r="S149" s="713"/>
      <c r="T149" s="713"/>
      <c r="U149" s="714">
        <f>U150</f>
        <v>74410</v>
      </c>
      <c r="Y149" s="649"/>
    </row>
    <row r="150" spans="1:25" ht="19.5" customHeight="1">
      <c r="A150" s="702"/>
      <c r="B150" s="703"/>
      <c r="C150" s="704" t="s">
        <v>109</v>
      </c>
      <c r="D150" s="666">
        <v>96340</v>
      </c>
      <c r="E150" s="666">
        <f>SUM(H150:J150)</f>
        <v>74410</v>
      </c>
      <c r="F150" s="666">
        <f>E150-D150</f>
        <v>-21930</v>
      </c>
      <c r="G150" s="705">
        <f t="shared" si="0"/>
        <v>-22.76313057919867</v>
      </c>
      <c r="H150" s="668">
        <v>21340</v>
      </c>
      <c r="I150" s="668">
        <v>0</v>
      </c>
      <c r="J150" s="668">
        <v>53070</v>
      </c>
      <c r="K150" s="668">
        <v>0</v>
      </c>
      <c r="L150" s="715" t="s">
        <v>339</v>
      </c>
      <c r="M150" s="708"/>
      <c r="N150" s="672">
        <f>U150/P150</f>
        <v>74410</v>
      </c>
      <c r="O150" s="671" t="s">
        <v>123</v>
      </c>
      <c r="P150" s="673">
        <v>1</v>
      </c>
      <c r="Q150" s="671"/>
      <c r="R150" s="674"/>
      <c r="S150" s="671" t="s">
        <v>153</v>
      </c>
      <c r="T150" s="671"/>
      <c r="U150" s="675">
        <v>74410</v>
      </c>
      <c r="W150" s="629">
        <f>SUM(H150:K150)</f>
        <v>74410</v>
      </c>
      <c r="X150" s="629">
        <f>E150-W150</f>
        <v>0</v>
      </c>
      <c r="Y150" s="649">
        <f>U150-W150</f>
        <v>0</v>
      </c>
    </row>
    <row r="151" spans="1:25" ht="19.5" customHeight="1">
      <c r="A151" s="717" t="s">
        <v>462</v>
      </c>
      <c r="B151" s="718" t="s">
        <v>114</v>
      </c>
      <c r="C151" s="719"/>
      <c r="D151" s="690">
        <f>D152</f>
        <v>1000000</v>
      </c>
      <c r="E151" s="690">
        <f>E152</f>
        <v>5840530</v>
      </c>
      <c r="F151" s="690">
        <f>E151-D151</f>
        <v>4840530</v>
      </c>
      <c r="G151" s="720">
        <f t="shared" si="0"/>
        <v>484.053</v>
      </c>
      <c r="H151" s="721">
        <f>H152</f>
        <v>5840530</v>
      </c>
      <c r="I151" s="721">
        <f t="shared" ref="I151:K151" si="16">I152</f>
        <v>0</v>
      </c>
      <c r="J151" s="721">
        <f t="shared" si="16"/>
        <v>0</v>
      </c>
      <c r="K151" s="721">
        <f t="shared" si="16"/>
        <v>0</v>
      </c>
      <c r="L151" s="768"/>
      <c r="M151" s="722"/>
      <c r="N151" s="722"/>
      <c r="O151" s="722"/>
      <c r="P151" s="722"/>
      <c r="Q151" s="722"/>
      <c r="R151" s="722"/>
      <c r="S151" s="722"/>
      <c r="T151" s="722"/>
      <c r="U151" s="723">
        <f>U152</f>
        <v>5840530</v>
      </c>
      <c r="Y151" s="649"/>
    </row>
    <row r="152" spans="1:25" ht="19.5" customHeight="1">
      <c r="A152" s="702"/>
      <c r="B152" s="710" t="s">
        <v>462</v>
      </c>
      <c r="C152" s="711" t="s">
        <v>164</v>
      </c>
      <c r="D152" s="660">
        <f>SUM(D153:D154)</f>
        <v>1000000</v>
      </c>
      <c r="E152" s="660">
        <f>SUM(E153:E154)</f>
        <v>5840530</v>
      </c>
      <c r="F152" s="660">
        <f>SUM(F153:F154)</f>
        <v>4840530</v>
      </c>
      <c r="G152" s="712">
        <f>F152/D152*100</f>
        <v>484.053</v>
      </c>
      <c r="H152" s="660">
        <f>SUM(H153:H154)</f>
        <v>5840530</v>
      </c>
      <c r="I152" s="660">
        <f>SUM(I153:I154)</f>
        <v>0</v>
      </c>
      <c r="J152" s="660">
        <f>SUM(J153:J154)</f>
        <v>0</v>
      </c>
      <c r="K152" s="660">
        <f>SUM(K153:K154)</f>
        <v>0</v>
      </c>
      <c r="L152" s="744"/>
      <c r="M152" s="713"/>
      <c r="N152" s="713"/>
      <c r="O152" s="713"/>
      <c r="P152" s="713"/>
      <c r="Q152" s="713"/>
      <c r="R152" s="713"/>
      <c r="S152" s="713"/>
      <c r="T152" s="713"/>
      <c r="U152" s="714">
        <f>SUM(U153:U154)</f>
        <v>5840530</v>
      </c>
      <c r="Y152" s="649"/>
    </row>
    <row r="153" spans="1:25" ht="19.5" customHeight="1">
      <c r="A153" s="724"/>
      <c r="B153" s="703"/>
      <c r="C153" s="704" t="s">
        <v>154</v>
      </c>
      <c r="D153" s="666">
        <v>0</v>
      </c>
      <c r="E153" s="666">
        <f>SUM(H153:K153)</f>
        <v>0</v>
      </c>
      <c r="F153" s="666">
        <f>E153-D153</f>
        <v>0</v>
      </c>
      <c r="G153" s="705">
        <v>0</v>
      </c>
      <c r="H153" s="668">
        <v>0</v>
      </c>
      <c r="I153" s="668">
        <v>0</v>
      </c>
      <c r="J153" s="668">
        <v>0</v>
      </c>
      <c r="K153" s="668">
        <v>0</v>
      </c>
      <c r="L153" s="707" t="s">
        <v>343</v>
      </c>
      <c r="M153" s="708"/>
      <c r="N153" s="672">
        <f>U153/P153</f>
        <v>0</v>
      </c>
      <c r="O153" s="671" t="s">
        <v>123</v>
      </c>
      <c r="P153" s="693">
        <v>12</v>
      </c>
      <c r="Q153" s="671"/>
      <c r="R153" s="674"/>
      <c r="S153" s="671" t="s">
        <v>153</v>
      </c>
      <c r="T153" s="671"/>
      <c r="U153" s="675">
        <v>0</v>
      </c>
      <c r="Y153" s="649"/>
    </row>
    <row r="154" spans="1:25" ht="19.5" customHeight="1">
      <c r="A154" s="725"/>
      <c r="B154" s="726"/>
      <c r="C154" s="727" t="s">
        <v>96</v>
      </c>
      <c r="D154" s="728">
        <v>1000000</v>
      </c>
      <c r="E154" s="728">
        <f>SUM(H154:J154)</f>
        <v>5840530</v>
      </c>
      <c r="F154" s="728">
        <f>E154-D154</f>
        <v>4840530</v>
      </c>
      <c r="G154" s="705">
        <f>F154/D154*100</f>
        <v>484.053</v>
      </c>
      <c r="H154" s="668">
        <f>U154</f>
        <v>5840530</v>
      </c>
      <c r="I154" s="668">
        <v>0</v>
      </c>
      <c r="J154" s="668">
        <v>0</v>
      </c>
      <c r="K154" s="668">
        <v>0</v>
      </c>
      <c r="L154" s="729" t="s">
        <v>264</v>
      </c>
      <c r="M154" s="904" t="s">
        <v>534</v>
      </c>
      <c r="N154" s="904"/>
      <c r="O154" s="904"/>
      <c r="P154" s="904"/>
      <c r="Q154" s="904"/>
      <c r="R154" s="904"/>
      <c r="S154" s="904"/>
      <c r="T154" s="826"/>
      <c r="U154" s="675">
        <v>5840530</v>
      </c>
      <c r="W154" s="629">
        <f>SUM(H154:K154)</f>
        <v>5840530</v>
      </c>
      <c r="X154" s="629">
        <f>E154-W154</f>
        <v>0</v>
      </c>
      <c r="Y154" s="649">
        <f>U154-W154</f>
        <v>0</v>
      </c>
    </row>
  </sheetData>
  <mergeCells count="10">
    <mergeCell ref="M154:S154"/>
    <mergeCell ref="A6:C6"/>
    <mergeCell ref="A2:U2"/>
    <mergeCell ref="A4:C4"/>
    <mergeCell ref="D4:D5"/>
    <mergeCell ref="E4:E5"/>
    <mergeCell ref="F4:F5"/>
    <mergeCell ref="G4:G5"/>
    <mergeCell ref="H4:K4"/>
    <mergeCell ref="L4:U5"/>
  </mergeCells>
  <phoneticPr fontId="65" type="noConversion"/>
  <printOptions horizontalCentered="1"/>
  <pageMargins left="0.62986111640930176" right="0.35430556535720825" top="0.59041666984558105" bottom="0.19666667282581329" header="0.59041666984558105" footer="0.35430556535720825"/>
  <pageSetup paperSize="9" scale="73" fitToHeight="0" orientation="landscape" r:id="rId1"/>
</worksheet>
</file>

<file path=xl/worksheets/sheet6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sheetPr codeName="Sheet6"/>
  <dimension ref="A1:AK232"/>
  <sheetViews>
    <sheetView view="pageBreakPreview" zoomScaleNormal="100" zoomScaleSheetLayoutView="100" workbookViewId="0">
      <pane xSplit="4" ySplit="5" topLeftCell="I26" activePane="bottomRight" state="frozen"/>
      <selection pane="topRight"/>
      <selection pane="bottomLeft"/>
      <selection pane="bottomRight" activeCell="H27" sqref="H27:J27"/>
    </sheetView>
  </sheetViews>
  <sheetFormatPr defaultColWidth="9" defaultRowHeight="13.5"/>
  <cols>
    <col min="1" max="1" width="6.125" style="170" customWidth="1"/>
    <col min="2" max="2" width="7.875" style="96" customWidth="1"/>
    <col min="3" max="3" width="10" style="170" customWidth="1"/>
    <col min="4" max="4" width="9.875" style="170" customWidth="1"/>
    <col min="5" max="5" width="12.875" style="171" customWidth="1"/>
    <col min="6" max="6" width="13.125" style="170" customWidth="1"/>
    <col min="7" max="7" width="12.875" style="172" customWidth="1"/>
    <col min="8" max="8" width="6.5" style="170" customWidth="1"/>
    <col min="9" max="9" width="11.125" style="169" customWidth="1"/>
    <col min="10" max="10" width="3" style="96" customWidth="1"/>
    <col min="11" max="11" width="8.625" style="96" bestFit="1" customWidth="1"/>
    <col min="12" max="12" width="2.25" style="96" bestFit="1" customWidth="1"/>
    <col min="13" max="13" width="5.125" style="96" customWidth="1"/>
    <col min="14" max="14" width="2.25" style="96" bestFit="1" customWidth="1"/>
    <col min="15" max="15" width="3.75" style="96" customWidth="1"/>
    <col min="16" max="16" width="1.75" style="96" customWidth="1"/>
    <col min="17" max="17" width="9.5" style="96" bestFit="1" customWidth="1"/>
    <col min="18" max="18" width="2.625" style="96" customWidth="1"/>
    <col min="19" max="19" width="10" style="170" hidden="1" customWidth="1"/>
    <col min="20" max="20" width="13" style="173" hidden="1" customWidth="1"/>
    <col min="21" max="21" width="14.125" style="170" hidden="1" customWidth="1"/>
    <col min="22" max="22" width="15.375" style="170" hidden="1" customWidth="1"/>
    <col min="23" max="23" width="11.75" style="170" hidden="1" customWidth="1"/>
    <col min="24" max="24" width="12.875" style="170" hidden="1" customWidth="1"/>
    <col min="25" max="25" width="18.875" style="170" hidden="1" customWidth="1"/>
    <col min="26" max="26" width="21.375" style="170" hidden="1" customWidth="1"/>
    <col min="27" max="27" width="9" style="170"/>
    <col min="28" max="28" width="11.875" style="170" customWidth="1"/>
    <col min="29" max="37" width="9" style="170"/>
    <col min="38" max="16384" width="9" style="174"/>
  </cols>
  <sheetData>
    <row r="1" spans="1:37" s="58" customFormat="1" ht="22.5" customHeight="1">
      <c r="A1" s="55" t="s">
        <v>205</v>
      </c>
      <c r="B1" s="55"/>
      <c r="C1" s="56"/>
      <c r="D1" s="57"/>
      <c r="G1" s="59"/>
      <c r="I1" s="933"/>
      <c r="J1" s="933"/>
      <c r="K1" s="933"/>
      <c r="L1" s="933"/>
      <c r="M1" s="933"/>
      <c r="N1" s="933"/>
      <c r="O1" s="933"/>
      <c r="P1" s="933"/>
      <c r="Q1" s="933"/>
      <c r="R1" s="933"/>
      <c r="T1" s="60"/>
    </row>
    <row r="2" spans="1:37" s="64" customFormat="1" ht="16.5" customHeight="1">
      <c r="A2" s="934" t="s">
        <v>527</v>
      </c>
      <c r="B2" s="934"/>
      <c r="C2" s="934"/>
      <c r="D2" s="934"/>
      <c r="E2" s="61"/>
      <c r="F2" s="62"/>
      <c r="G2" s="63"/>
      <c r="H2" s="62"/>
      <c r="I2" s="933"/>
      <c r="J2" s="933"/>
      <c r="K2" s="933"/>
      <c r="L2" s="933"/>
      <c r="M2" s="933"/>
      <c r="N2" s="933"/>
      <c r="O2" s="933"/>
      <c r="P2" s="933"/>
      <c r="Q2" s="933"/>
      <c r="R2" s="933"/>
      <c r="S2" s="62"/>
      <c r="U2" s="62"/>
      <c r="V2" s="62"/>
      <c r="W2" s="62"/>
      <c r="X2" s="62"/>
      <c r="Y2" s="62"/>
      <c r="Z2" s="62"/>
      <c r="AA2" s="62"/>
      <c r="AB2" s="62"/>
      <c r="AC2" s="62"/>
      <c r="AD2" s="62"/>
      <c r="AE2" s="62"/>
      <c r="AF2" s="62"/>
      <c r="AG2" s="62"/>
      <c r="AH2" s="62"/>
      <c r="AI2" s="62"/>
      <c r="AJ2" s="62"/>
      <c r="AK2" s="62"/>
    </row>
    <row r="3" spans="1:37" s="67" customFormat="1" ht="19.5" customHeight="1">
      <c r="A3" s="62"/>
      <c r="B3" s="65"/>
      <c r="C3" s="62"/>
      <c r="D3" s="62"/>
      <c r="E3" s="61"/>
      <c r="F3" s="62"/>
      <c r="G3" s="63"/>
      <c r="H3" s="62"/>
      <c r="I3" s="935" t="s">
        <v>501</v>
      </c>
      <c r="J3" s="935"/>
      <c r="K3" s="935"/>
      <c r="L3" s="935"/>
      <c r="M3" s="935"/>
      <c r="N3" s="935"/>
      <c r="O3" s="935"/>
      <c r="P3" s="935"/>
      <c r="Q3" s="935"/>
      <c r="R3" s="935"/>
      <c r="S3" s="62"/>
      <c r="T3" s="66"/>
      <c r="U3" s="62"/>
      <c r="V3" s="62"/>
      <c r="W3" s="62"/>
      <c r="X3" s="62"/>
      <c r="Y3" s="62"/>
      <c r="Z3" s="62"/>
      <c r="AA3" s="62"/>
      <c r="AB3" s="62"/>
      <c r="AC3" s="62"/>
      <c r="AD3" s="62"/>
      <c r="AE3" s="62"/>
      <c r="AF3" s="62"/>
      <c r="AG3" s="62"/>
      <c r="AH3" s="62"/>
      <c r="AI3" s="62"/>
      <c r="AJ3" s="62"/>
      <c r="AK3" s="62"/>
    </row>
    <row r="4" spans="1:37" s="68" customFormat="1" ht="23.25" customHeight="1">
      <c r="A4" s="936" t="s">
        <v>302</v>
      </c>
      <c r="B4" s="937"/>
      <c r="C4" s="937"/>
      <c r="D4" s="938"/>
      <c r="E4" s="939" t="e">
        <v>#REF!</v>
      </c>
      <c r="F4" s="941" t="e">
        <v>#REF!</v>
      </c>
      <c r="G4" s="943" t="s">
        <v>479</v>
      </c>
      <c r="H4" s="943"/>
      <c r="I4" s="944" t="s">
        <v>295</v>
      </c>
      <c r="J4" s="944"/>
      <c r="K4" s="944"/>
      <c r="L4" s="944"/>
      <c r="M4" s="944"/>
      <c r="N4" s="944"/>
      <c r="O4" s="944"/>
      <c r="P4" s="944"/>
      <c r="Q4" s="944"/>
      <c r="R4" s="945"/>
      <c r="T4" s="69"/>
    </row>
    <row r="5" spans="1:37" s="68" customFormat="1" ht="22.5" customHeight="1">
      <c r="A5" s="70" t="s">
        <v>127</v>
      </c>
      <c r="B5" s="71" t="s">
        <v>110</v>
      </c>
      <c r="C5" s="72" t="s">
        <v>145</v>
      </c>
      <c r="D5" s="72" t="s">
        <v>118</v>
      </c>
      <c r="E5" s="940"/>
      <c r="F5" s="942"/>
      <c r="G5" s="73" t="s">
        <v>115</v>
      </c>
      <c r="H5" s="74" t="s">
        <v>447</v>
      </c>
      <c r="I5" s="946"/>
      <c r="J5" s="946"/>
      <c r="K5" s="946"/>
      <c r="L5" s="946"/>
      <c r="M5" s="946"/>
      <c r="N5" s="946"/>
      <c r="O5" s="946"/>
      <c r="P5" s="946"/>
      <c r="Q5" s="946"/>
      <c r="R5" s="947"/>
      <c r="T5" s="75"/>
      <c r="U5" s="76"/>
      <c r="AB5" s="77" t="e">
        <f>#REF!+172000-'라-1.보조금세출'!F6</f>
        <v>#REF!</v>
      </c>
    </row>
    <row r="6" spans="1:37" s="85" customFormat="1" ht="29.25" customHeight="1">
      <c r="A6" s="948" t="s">
        <v>301</v>
      </c>
      <c r="B6" s="949"/>
      <c r="C6" s="949"/>
      <c r="D6" s="78"/>
      <c r="E6" s="79">
        <v>0</v>
      </c>
      <c r="F6" s="79">
        <f>F7+F34+F39+F52+F55</f>
        <v>271383340</v>
      </c>
      <c r="G6" s="80">
        <f t="shared" ref="G6:G13" si="0">F6-E6</f>
        <v>271383340</v>
      </c>
      <c r="H6" s="81">
        <v>100</v>
      </c>
      <c r="I6" s="82" t="s">
        <v>141</v>
      </c>
      <c r="J6" s="83"/>
      <c r="K6" s="83"/>
      <c r="L6" s="83"/>
      <c r="M6" s="83"/>
      <c r="N6" s="83"/>
      <c r="O6" s="83"/>
      <c r="P6" s="83"/>
      <c r="Q6" s="83">
        <f>Q7+Q34+Q39+Q52+Q55</f>
        <v>269383340</v>
      </c>
      <c r="R6" s="84" t="s">
        <v>121</v>
      </c>
      <c r="T6" s="86">
        <f>(67920000)+(31750000)</f>
        <v>99670000</v>
      </c>
      <c r="U6" s="87"/>
    </row>
    <row r="7" spans="1:37" s="96" customFormat="1" ht="21.75" customHeight="1">
      <c r="A7" s="88" t="s">
        <v>163</v>
      </c>
      <c r="B7" s="950" t="s">
        <v>114</v>
      </c>
      <c r="C7" s="951"/>
      <c r="D7" s="89"/>
      <c r="E7" s="90">
        <v>0</v>
      </c>
      <c r="F7" s="90">
        <f>F8+F23+F27</f>
        <v>145835340</v>
      </c>
      <c r="G7" s="91">
        <f t="shared" si="0"/>
        <v>145835340</v>
      </c>
      <c r="H7" s="92">
        <v>100</v>
      </c>
      <c r="I7" s="93" t="s">
        <v>466</v>
      </c>
      <c r="J7" s="94"/>
      <c r="K7" s="94"/>
      <c r="L7" s="94"/>
      <c r="M7" s="94"/>
      <c r="N7" s="94"/>
      <c r="O7" s="94"/>
      <c r="P7" s="94"/>
      <c r="Q7" s="94">
        <f>Q8+Q23+Q27</f>
        <v>145835340</v>
      </c>
      <c r="R7" s="95" t="s">
        <v>121</v>
      </c>
      <c r="T7" s="97" t="e">
        <f>SUM(F23,F28,F29,F30,#REF!,#REF!,#REF!,F32,F35,F43,F44,F47)</f>
        <v>#REF!</v>
      </c>
    </row>
    <row r="8" spans="1:37" s="96" customFormat="1" ht="21.75" customHeight="1">
      <c r="A8" s="98"/>
      <c r="B8" s="99" t="s">
        <v>155</v>
      </c>
      <c r="C8" s="100" t="s">
        <v>164</v>
      </c>
      <c r="D8" s="100"/>
      <c r="E8" s="101">
        <v>0</v>
      </c>
      <c r="F8" s="101">
        <f>F9+F10+F16+F22+F15</f>
        <v>118030060</v>
      </c>
      <c r="G8" s="91">
        <f t="shared" si="0"/>
        <v>118030060</v>
      </c>
      <c r="H8" s="92">
        <v>100</v>
      </c>
      <c r="I8" s="93" t="s">
        <v>472</v>
      </c>
      <c r="J8" s="94"/>
      <c r="K8" s="94"/>
      <c r="L8" s="94"/>
      <c r="M8" s="94"/>
      <c r="N8" s="94"/>
      <c r="O8" s="94"/>
      <c r="P8" s="94"/>
      <c r="Q8" s="94">
        <f>Q9+Q10+Q15+Q16+Q22</f>
        <v>118030060</v>
      </c>
      <c r="R8" s="95" t="s">
        <v>121</v>
      </c>
      <c r="T8" s="97" t="e">
        <f>T6-T7</f>
        <v>#REF!</v>
      </c>
    </row>
    <row r="9" spans="1:37" s="96" customFormat="1" ht="21.75" customHeight="1">
      <c r="A9" s="102"/>
      <c r="B9" s="103"/>
      <c r="C9" s="100" t="s">
        <v>113</v>
      </c>
      <c r="D9" s="100"/>
      <c r="E9" s="101">
        <v>0</v>
      </c>
      <c r="F9" s="101">
        <f>Q9</f>
        <v>65999100</v>
      </c>
      <c r="G9" s="91">
        <f t="shared" si="0"/>
        <v>65999100</v>
      </c>
      <c r="H9" s="92">
        <v>100</v>
      </c>
      <c r="I9" s="104" t="s">
        <v>113</v>
      </c>
      <c r="J9" s="105"/>
      <c r="K9" s="106">
        <f>'사. 임직원보수 일람표'!F41/8/12</f>
        <v>687490.625</v>
      </c>
      <c r="L9" s="107" t="s">
        <v>123</v>
      </c>
      <c r="M9" s="108">
        <v>12</v>
      </c>
      <c r="N9" s="107" t="s">
        <v>123</v>
      </c>
      <c r="O9" s="109">
        <v>8</v>
      </c>
      <c r="P9" s="110" t="s">
        <v>153</v>
      </c>
      <c r="Q9" s="106">
        <f>'사. 임직원보수 일람표'!F41</f>
        <v>65999100</v>
      </c>
      <c r="R9" s="111" t="s">
        <v>121</v>
      </c>
      <c r="T9" s="97"/>
    </row>
    <row r="10" spans="1:37" s="96" customFormat="1" ht="21.75" customHeight="1">
      <c r="A10" s="102"/>
      <c r="B10" s="112"/>
      <c r="C10" s="100" t="s">
        <v>130</v>
      </c>
      <c r="D10" s="100" t="s">
        <v>164</v>
      </c>
      <c r="E10" s="90">
        <v>0</v>
      </c>
      <c r="F10" s="90">
        <f>SUM(F11:F13)</f>
        <v>15509220</v>
      </c>
      <c r="G10" s="91">
        <f t="shared" si="0"/>
        <v>15509220</v>
      </c>
      <c r="H10" s="92">
        <v>100</v>
      </c>
      <c r="I10" s="93" t="s">
        <v>475</v>
      </c>
      <c r="J10" s="94"/>
      <c r="K10" s="113"/>
      <c r="L10" s="114"/>
      <c r="M10" s="115"/>
      <c r="N10" s="114"/>
      <c r="O10" s="116"/>
      <c r="P10" s="117"/>
      <c r="Q10" s="113">
        <f>SUM(Q11:Q13)</f>
        <v>15509220</v>
      </c>
      <c r="R10" s="95" t="s">
        <v>121</v>
      </c>
      <c r="T10" s="97"/>
    </row>
    <row r="11" spans="1:37" s="96" customFormat="1" ht="21" customHeight="1">
      <c r="A11" s="102"/>
      <c r="B11" s="112"/>
      <c r="C11" s="112"/>
      <c r="D11" s="99" t="s">
        <v>422</v>
      </c>
      <c r="E11" s="101">
        <v>0</v>
      </c>
      <c r="F11" s="101">
        <f>Q11</f>
        <v>5915820</v>
      </c>
      <c r="G11" s="91">
        <f t="shared" si="0"/>
        <v>5915820</v>
      </c>
      <c r="H11" s="92">
        <v>100</v>
      </c>
      <c r="I11" s="104" t="s">
        <v>422</v>
      </c>
      <c r="J11" s="105"/>
      <c r="K11" s="106">
        <f>'사. 임직원보수 일람표'!G41/8/2</f>
        <v>369738.75</v>
      </c>
      <c r="L11" s="107" t="s">
        <v>123</v>
      </c>
      <c r="M11" s="109">
        <v>8</v>
      </c>
      <c r="N11" s="107" t="s">
        <v>123</v>
      </c>
      <c r="O11" s="118">
        <v>2</v>
      </c>
      <c r="P11" s="110" t="s">
        <v>153</v>
      </c>
      <c r="Q11" s="106">
        <f>K11*M11*O11</f>
        <v>5915820</v>
      </c>
      <c r="R11" s="111" t="s">
        <v>121</v>
      </c>
      <c r="T11" s="97"/>
    </row>
    <row r="12" spans="1:37" s="96" customFormat="1" ht="21" customHeight="1">
      <c r="A12" s="102"/>
      <c r="B12" s="112"/>
      <c r="C12" s="112"/>
      <c r="D12" s="119" t="s">
        <v>450</v>
      </c>
      <c r="E12" s="101">
        <v>0</v>
      </c>
      <c r="F12" s="101">
        <f>Q12</f>
        <v>9473400</v>
      </c>
      <c r="G12" s="91">
        <f t="shared" si="0"/>
        <v>9473400</v>
      </c>
      <c r="H12" s="92">
        <v>100</v>
      </c>
      <c r="I12" s="104" t="s">
        <v>450</v>
      </c>
      <c r="J12" s="105"/>
      <c r="K12" s="105">
        <f>'사. 임직원보수 일람표'!I41/8/12</f>
        <v>98681.25</v>
      </c>
      <c r="L12" s="107" t="s">
        <v>123</v>
      </c>
      <c r="M12" s="108">
        <v>12</v>
      </c>
      <c r="N12" s="107" t="s">
        <v>123</v>
      </c>
      <c r="O12" s="109">
        <v>8</v>
      </c>
      <c r="P12" s="110" t="s">
        <v>153</v>
      </c>
      <c r="Q12" s="106">
        <f t="shared" ref="Q12:Q13" si="1">K12*M12*O12</f>
        <v>9473400</v>
      </c>
      <c r="R12" s="111" t="s">
        <v>121</v>
      </c>
      <c r="T12" s="97"/>
    </row>
    <row r="13" spans="1:37" s="96" customFormat="1" ht="21" customHeight="1">
      <c r="A13" s="102"/>
      <c r="B13" s="112"/>
      <c r="C13" s="120"/>
      <c r="D13" s="100" t="s">
        <v>427</v>
      </c>
      <c r="E13" s="101">
        <v>0</v>
      </c>
      <c r="F13" s="101">
        <f>Q13</f>
        <v>120000</v>
      </c>
      <c r="G13" s="91">
        <f t="shared" si="0"/>
        <v>120000</v>
      </c>
      <c r="H13" s="92">
        <v>100</v>
      </c>
      <c r="I13" s="104" t="s">
        <v>427</v>
      </c>
      <c r="J13" s="105"/>
      <c r="K13" s="105">
        <f>'사. 임직원보수 일람표'!H41/8/12</f>
        <v>1250</v>
      </c>
      <c r="L13" s="107" t="s">
        <v>123</v>
      </c>
      <c r="M13" s="108">
        <v>12</v>
      </c>
      <c r="N13" s="107" t="s">
        <v>123</v>
      </c>
      <c r="O13" s="109">
        <v>8</v>
      </c>
      <c r="P13" s="110" t="s">
        <v>153</v>
      </c>
      <c r="Q13" s="106">
        <f t="shared" si="1"/>
        <v>120000</v>
      </c>
      <c r="R13" s="111" t="s">
        <v>121</v>
      </c>
      <c r="T13" s="97"/>
    </row>
    <row r="14" spans="1:37" s="96" customFormat="1" ht="21" hidden="1" customHeight="1">
      <c r="A14" s="102"/>
      <c r="B14" s="112"/>
      <c r="C14" s="112"/>
      <c r="D14" s="100"/>
      <c r="E14" s="101"/>
      <c r="G14" s="91"/>
      <c r="H14" s="92">
        <v>100</v>
      </c>
      <c r="I14" s="104"/>
      <c r="J14" s="105"/>
      <c r="K14" s="105"/>
      <c r="L14" s="105"/>
      <c r="M14" s="105"/>
      <c r="N14" s="105"/>
      <c r="O14" s="105"/>
      <c r="P14" s="105"/>
      <c r="Q14" s="105"/>
      <c r="R14" s="111" t="s">
        <v>121</v>
      </c>
      <c r="T14" s="97" t="e">
        <v>#REF!</v>
      </c>
    </row>
    <row r="15" spans="1:37" s="96" customFormat="1" ht="21" customHeight="1">
      <c r="A15" s="102"/>
      <c r="B15" s="112"/>
      <c r="C15" s="99" t="s">
        <v>464</v>
      </c>
      <c r="D15" s="99"/>
      <c r="E15" s="101">
        <v>0</v>
      </c>
      <c r="F15" s="101">
        <f>Q15</f>
        <v>6792360</v>
      </c>
      <c r="G15" s="91">
        <f t="shared" ref="G15:G57" si="2">F15-E15</f>
        <v>6792360</v>
      </c>
      <c r="H15" s="92">
        <v>100</v>
      </c>
      <c r="I15" s="104" t="s">
        <v>213</v>
      </c>
      <c r="J15" s="105"/>
      <c r="K15" s="106">
        <f>'사. 임직원보수 일람표'!F41+'사. 임직원보수 일람표'!J41</f>
        <v>81508320</v>
      </c>
      <c r="L15" s="107" t="s">
        <v>123</v>
      </c>
      <c r="M15" s="121">
        <v>8.3333333333333329E-2</v>
      </c>
      <c r="N15" s="107" t="s">
        <v>123</v>
      </c>
      <c r="O15" s="122"/>
      <c r="P15" s="110" t="s">
        <v>153</v>
      </c>
      <c r="Q15" s="106">
        <f>'사. 임직원보수 일람표'!K41</f>
        <v>6792360</v>
      </c>
      <c r="R15" s="111" t="s">
        <v>121</v>
      </c>
      <c r="T15" s="97"/>
    </row>
    <row r="16" spans="1:37" s="96" customFormat="1" ht="21" customHeight="1">
      <c r="A16" s="102"/>
      <c r="B16" s="112"/>
      <c r="C16" s="123" t="s">
        <v>406</v>
      </c>
      <c r="D16" s="124" t="s">
        <v>164</v>
      </c>
      <c r="E16" s="125">
        <v>0</v>
      </c>
      <c r="F16" s="125">
        <f>SUM(F17:F21)</f>
        <v>29729380</v>
      </c>
      <c r="G16" s="91">
        <f t="shared" si="2"/>
        <v>29729380</v>
      </c>
      <c r="H16" s="92">
        <v>100</v>
      </c>
      <c r="I16" s="921" t="s">
        <v>199</v>
      </c>
      <c r="J16" s="922"/>
      <c r="K16" s="94"/>
      <c r="L16" s="94"/>
      <c r="M16" s="94"/>
      <c r="N16" s="94"/>
      <c r="O16" s="94"/>
      <c r="P16" s="94"/>
      <c r="Q16" s="94">
        <f>SUM(Q17:Q21)</f>
        <v>29729380</v>
      </c>
      <c r="R16" s="95" t="s">
        <v>121</v>
      </c>
      <c r="T16" s="97"/>
      <c r="X16" s="97" t="e">
        <f>SUM(F17-X17)</f>
        <v>#REF!</v>
      </c>
      <c r="Y16" s="126"/>
      <c r="Z16" s="127" t="e">
        <v>#REF!</v>
      </c>
    </row>
    <row r="17" spans="1:26" s="96" customFormat="1" ht="29.25" customHeight="1">
      <c r="A17" s="102"/>
      <c r="B17" s="112"/>
      <c r="C17" s="103"/>
      <c r="D17" s="103" t="s">
        <v>43</v>
      </c>
      <c r="E17" s="128">
        <v>0</v>
      </c>
      <c r="F17" s="101">
        <f t="shared" ref="F17:F22" si="3">Q17</f>
        <v>9895340</v>
      </c>
      <c r="G17" s="129">
        <f t="shared" si="2"/>
        <v>9895340</v>
      </c>
      <c r="H17" s="92">
        <v>100</v>
      </c>
      <c r="I17" s="130" t="s">
        <v>483</v>
      </c>
      <c r="J17" s="131"/>
      <c r="K17" s="131">
        <f>K15</f>
        <v>81508320</v>
      </c>
      <c r="L17" s="132" t="s">
        <v>123</v>
      </c>
      <c r="M17" s="133">
        <v>6.6699999999999995E-2</v>
      </c>
      <c r="N17" s="132" t="s">
        <v>123</v>
      </c>
      <c r="O17" s="134">
        <v>0.5</v>
      </c>
      <c r="P17" s="135" t="s">
        <v>153</v>
      </c>
      <c r="Q17" s="131">
        <f>'인건비총계표(보조금)'!Y5</f>
        <v>9895340</v>
      </c>
      <c r="R17" s="136" t="s">
        <v>121</v>
      </c>
      <c r="T17" s="97" t="e">
        <v>#REF!</v>
      </c>
      <c r="U17" s="97" t="e">
        <f>ROUNDUP(T17*3.23%,-1)</f>
        <v>#REF!</v>
      </c>
      <c r="V17" s="97" t="e">
        <f>ROUNDUP(U17*8.51%,-1)</f>
        <v>#REF!</v>
      </c>
      <c r="W17" s="126" t="e">
        <v>#REF!</v>
      </c>
      <c r="X17" s="97" t="e">
        <f>SUM(V17:W17)</f>
        <v>#REF!</v>
      </c>
      <c r="Y17" s="126"/>
      <c r="Z17" s="126">
        <f>SUM(Y16:Y17)</f>
        <v>0</v>
      </c>
    </row>
    <row r="18" spans="1:26" s="96" customFormat="1" ht="30" customHeight="1">
      <c r="A18" s="102"/>
      <c r="B18" s="112"/>
      <c r="C18" s="120"/>
      <c r="D18" s="103" t="s">
        <v>465</v>
      </c>
      <c r="E18" s="128"/>
      <c r="F18" s="101">
        <f t="shared" si="3"/>
        <v>1014790</v>
      </c>
      <c r="G18" s="129">
        <f>F18-E18</f>
        <v>1014790</v>
      </c>
      <c r="H18" s="92">
        <v>100</v>
      </c>
      <c r="I18" s="130" t="s">
        <v>465</v>
      </c>
      <c r="J18" s="131"/>
      <c r="K18" s="131">
        <f>Q17</f>
        <v>9895340</v>
      </c>
      <c r="L18" s="132" t="s">
        <v>123</v>
      </c>
      <c r="M18" s="133">
        <v>0.10249999999999999</v>
      </c>
      <c r="N18" s="132"/>
      <c r="O18" s="134"/>
      <c r="P18" s="135" t="s">
        <v>153</v>
      </c>
      <c r="Q18" s="131">
        <f>'인건비총계표(보조금)'!Z5</f>
        <v>1014790</v>
      </c>
      <c r="R18" s="136" t="s">
        <v>121</v>
      </c>
      <c r="T18" s="97" t="e">
        <v>#REF!</v>
      </c>
      <c r="U18" s="97" t="e">
        <f>ROUNDUP(T18*4.5%,-1)</f>
        <v>#REF!</v>
      </c>
      <c r="V18" s="97" t="e">
        <f>F19-U18</f>
        <v>#REF!</v>
      </c>
      <c r="Y18" s="126"/>
    </row>
    <row r="19" spans="1:26" s="96" customFormat="1" ht="26.25" customHeight="1">
      <c r="A19" s="102"/>
      <c r="B19" s="112"/>
      <c r="C19" s="120"/>
      <c r="D19" s="99" t="s">
        <v>214</v>
      </c>
      <c r="E19" s="101">
        <v>0</v>
      </c>
      <c r="F19" s="101">
        <f t="shared" si="3"/>
        <v>13351150</v>
      </c>
      <c r="G19" s="91">
        <f t="shared" si="2"/>
        <v>13351150</v>
      </c>
      <c r="H19" s="92">
        <v>100</v>
      </c>
      <c r="I19" s="137" t="s">
        <v>438</v>
      </c>
      <c r="J19" s="138"/>
      <c r="K19" s="138">
        <f>K17</f>
        <v>81508320</v>
      </c>
      <c r="L19" s="132" t="s">
        <v>123</v>
      </c>
      <c r="M19" s="133">
        <v>0.09</v>
      </c>
      <c r="N19" s="132" t="s">
        <v>123</v>
      </c>
      <c r="O19" s="134">
        <v>0.5</v>
      </c>
      <c r="P19" s="135" t="s">
        <v>153</v>
      </c>
      <c r="Q19" s="131">
        <f>'인건비총계표(보조금)'!X5</f>
        <v>13351150</v>
      </c>
      <c r="R19" s="136" t="s">
        <v>121</v>
      </c>
      <c r="T19" s="97" t="e">
        <v>#REF!</v>
      </c>
      <c r="U19" s="97" t="e">
        <f>ROUNDUP(T19*0.9%,-1)</f>
        <v>#REF!</v>
      </c>
      <c r="V19" s="97" t="e">
        <f>F20-U19</f>
        <v>#REF!</v>
      </c>
    </row>
    <row r="20" spans="1:26" s="96" customFormat="1" ht="25.5" customHeight="1">
      <c r="A20" s="102"/>
      <c r="B20" s="112"/>
      <c r="C20" s="112"/>
      <c r="D20" s="100" t="s">
        <v>16</v>
      </c>
      <c r="E20" s="101">
        <v>0</v>
      </c>
      <c r="F20" s="101">
        <f t="shared" si="3"/>
        <v>3115300</v>
      </c>
      <c r="G20" s="91">
        <f t="shared" si="2"/>
        <v>3115300</v>
      </c>
      <c r="H20" s="92">
        <v>100</v>
      </c>
      <c r="I20" s="130" t="s">
        <v>452</v>
      </c>
      <c r="J20" s="131"/>
      <c r="K20" s="131">
        <f>K19</f>
        <v>81508320</v>
      </c>
      <c r="L20" s="132" t="s">
        <v>123</v>
      </c>
      <c r="M20" s="133">
        <v>1.0500000000000001E-2</v>
      </c>
      <c r="N20" s="132"/>
      <c r="O20" s="134"/>
      <c r="P20" s="135" t="s">
        <v>153</v>
      </c>
      <c r="Q20" s="131">
        <f>'인건비총계표(보조금)'!AA5</f>
        <v>3115300</v>
      </c>
      <c r="R20" s="136" t="s">
        <v>121</v>
      </c>
      <c r="T20" s="97" t="e">
        <v>#REF!</v>
      </c>
      <c r="U20" s="97" t="e">
        <f>ROUNDUP(T20*0.8%,-1)</f>
        <v>#REF!</v>
      </c>
      <c r="V20" s="97" t="e">
        <f>F21-U20</f>
        <v>#REF!</v>
      </c>
    </row>
    <row r="21" spans="1:26" s="96" customFormat="1" ht="21" customHeight="1">
      <c r="A21" s="102"/>
      <c r="B21" s="112"/>
      <c r="C21" s="139"/>
      <c r="D21" s="100" t="s">
        <v>41</v>
      </c>
      <c r="E21" s="101">
        <v>0</v>
      </c>
      <c r="F21" s="101">
        <f t="shared" si="3"/>
        <v>2352800</v>
      </c>
      <c r="G21" s="91">
        <f t="shared" si="2"/>
        <v>2352800</v>
      </c>
      <c r="H21" s="92">
        <v>100</v>
      </c>
      <c r="I21" s="130" t="s">
        <v>467</v>
      </c>
      <c r="J21" s="131"/>
      <c r="K21" s="131">
        <f>K20</f>
        <v>81508320</v>
      </c>
      <c r="L21" s="132" t="s">
        <v>123</v>
      </c>
      <c r="M21" s="140">
        <v>7.9299999999999995E-3</v>
      </c>
      <c r="N21" s="132"/>
      <c r="O21" s="134"/>
      <c r="P21" s="135" t="s">
        <v>153</v>
      </c>
      <c r="Q21" s="131">
        <f>'인건비총계표(보조금)'!AB5</f>
        <v>2352800</v>
      </c>
      <c r="R21" s="136" t="s">
        <v>121</v>
      </c>
      <c r="T21" s="97"/>
    </row>
    <row r="22" spans="1:26" s="96" customFormat="1" ht="25.5" customHeight="1">
      <c r="A22" s="102"/>
      <c r="B22" s="139"/>
      <c r="C22" s="139" t="s">
        <v>446</v>
      </c>
      <c r="D22" s="139"/>
      <c r="E22" s="125">
        <v>0</v>
      </c>
      <c r="F22" s="101">
        <f t="shared" si="3"/>
        <v>0</v>
      </c>
      <c r="G22" s="91">
        <f t="shared" si="2"/>
        <v>0</v>
      </c>
      <c r="H22" s="92">
        <v>0</v>
      </c>
      <c r="I22" s="929" t="s">
        <v>513</v>
      </c>
      <c r="J22" s="930"/>
      <c r="K22" s="930"/>
      <c r="L22" s="930"/>
      <c r="M22" s="930"/>
      <c r="N22" s="930"/>
      <c r="O22" s="105"/>
      <c r="P22" s="105"/>
      <c r="Q22" s="105">
        <v>0</v>
      </c>
      <c r="R22" s="111" t="s">
        <v>121</v>
      </c>
      <c r="T22" s="97"/>
    </row>
    <row r="23" spans="1:26" s="96" customFormat="1" ht="21.75" customHeight="1">
      <c r="A23" s="102"/>
      <c r="B23" s="100" t="s">
        <v>20</v>
      </c>
      <c r="C23" s="100" t="s">
        <v>164</v>
      </c>
      <c r="D23" s="100"/>
      <c r="E23" s="101">
        <v>0</v>
      </c>
      <c r="F23" s="101">
        <f>SUM(F24:F26)</f>
        <v>0</v>
      </c>
      <c r="G23" s="91">
        <f t="shared" si="2"/>
        <v>0</v>
      </c>
      <c r="H23" s="92">
        <v>0</v>
      </c>
      <c r="I23" s="93" t="s">
        <v>203</v>
      </c>
      <c r="J23" s="94"/>
      <c r="K23" s="94"/>
      <c r="L23" s="94"/>
      <c r="M23" s="94"/>
      <c r="N23" s="94"/>
      <c r="O23" s="94"/>
      <c r="P23" s="94"/>
      <c r="Q23" s="94">
        <f>SUM(Q24:Q26)</f>
        <v>0</v>
      </c>
      <c r="R23" s="95" t="s">
        <v>121</v>
      </c>
      <c r="T23" s="97"/>
    </row>
    <row r="24" spans="1:26" s="96" customFormat="1" ht="21.75" customHeight="1">
      <c r="A24" s="102"/>
      <c r="B24" s="141"/>
      <c r="C24" s="100" t="s">
        <v>461</v>
      </c>
      <c r="D24" s="100"/>
      <c r="E24" s="101">
        <v>0</v>
      </c>
      <c r="F24" s="101">
        <f>Q24</f>
        <v>0</v>
      </c>
      <c r="G24" s="91">
        <f t="shared" si="2"/>
        <v>0</v>
      </c>
      <c r="H24" s="92">
        <v>0</v>
      </c>
      <c r="I24" s="929" t="s">
        <v>207</v>
      </c>
      <c r="J24" s="930"/>
      <c r="K24" s="105">
        <v>0</v>
      </c>
      <c r="L24" s="107" t="s">
        <v>123</v>
      </c>
      <c r="M24" s="108">
        <v>12</v>
      </c>
      <c r="N24" s="107"/>
      <c r="O24" s="105"/>
      <c r="P24" s="110" t="s">
        <v>153</v>
      </c>
      <c r="Q24" s="105">
        <f>K24*M24</f>
        <v>0</v>
      </c>
      <c r="R24" s="111" t="s">
        <v>121</v>
      </c>
      <c r="T24" s="97"/>
    </row>
    <row r="25" spans="1:26" s="96" customFormat="1" ht="21.75" customHeight="1">
      <c r="A25" s="102"/>
      <c r="B25" s="112"/>
      <c r="C25" s="100" t="s">
        <v>443</v>
      </c>
      <c r="D25" s="100"/>
      <c r="E25" s="101">
        <v>0</v>
      </c>
      <c r="F25" s="101">
        <f>Q25</f>
        <v>0</v>
      </c>
      <c r="G25" s="91">
        <f t="shared" si="2"/>
        <v>0</v>
      </c>
      <c r="H25" s="92">
        <v>0</v>
      </c>
      <c r="I25" s="104" t="s">
        <v>443</v>
      </c>
      <c r="J25" s="105"/>
      <c r="K25" s="105">
        <v>0</v>
      </c>
      <c r="L25" s="107" t="s">
        <v>123</v>
      </c>
      <c r="M25" s="108">
        <v>12</v>
      </c>
      <c r="N25" s="107"/>
      <c r="O25" s="105"/>
      <c r="P25" s="110" t="s">
        <v>153</v>
      </c>
      <c r="Q25" s="105">
        <f>K25*M25</f>
        <v>0</v>
      </c>
      <c r="R25" s="111" t="s">
        <v>121</v>
      </c>
      <c r="T25" s="97"/>
    </row>
    <row r="26" spans="1:26" s="96" customFormat="1" ht="21.75" customHeight="1">
      <c r="A26" s="102"/>
      <c r="B26" s="139"/>
      <c r="C26" s="100" t="s">
        <v>172</v>
      </c>
      <c r="D26" s="100"/>
      <c r="E26" s="101">
        <v>0</v>
      </c>
      <c r="F26" s="101">
        <f>Q26</f>
        <v>0</v>
      </c>
      <c r="G26" s="91">
        <f t="shared" si="2"/>
        <v>0</v>
      </c>
      <c r="H26" s="92">
        <v>0</v>
      </c>
      <c r="I26" s="104" t="s">
        <v>172</v>
      </c>
      <c r="J26" s="105"/>
      <c r="K26" s="105">
        <v>0</v>
      </c>
      <c r="L26" s="107" t="s">
        <v>123</v>
      </c>
      <c r="M26" s="108">
        <v>12</v>
      </c>
      <c r="N26" s="107"/>
      <c r="O26" s="105"/>
      <c r="P26" s="110" t="s">
        <v>153</v>
      </c>
      <c r="Q26" s="105">
        <f>K26*M26</f>
        <v>0</v>
      </c>
      <c r="R26" s="111" t="s">
        <v>121</v>
      </c>
      <c r="T26" s="97"/>
    </row>
    <row r="27" spans="1:26" s="96" customFormat="1" ht="21.75" customHeight="1">
      <c r="A27" s="102"/>
      <c r="B27" s="100" t="s">
        <v>162</v>
      </c>
      <c r="C27" s="100" t="s">
        <v>164</v>
      </c>
      <c r="D27" s="100"/>
      <c r="E27" s="101">
        <v>0</v>
      </c>
      <c r="F27" s="101">
        <f>F28+F29+F30+F31+F32+F33</f>
        <v>27805280</v>
      </c>
      <c r="G27" s="91">
        <f t="shared" si="2"/>
        <v>27805280</v>
      </c>
      <c r="H27" s="92">
        <v>100</v>
      </c>
      <c r="I27" s="93" t="s">
        <v>470</v>
      </c>
      <c r="J27" s="94"/>
      <c r="K27" s="94"/>
      <c r="L27" s="94"/>
      <c r="M27" s="94"/>
      <c r="N27" s="94"/>
      <c r="O27" s="94"/>
      <c r="P27" s="94"/>
      <c r="Q27" s="94">
        <f>SUM(Q28:Q33)</f>
        <v>27805280</v>
      </c>
      <c r="R27" s="95" t="s">
        <v>121</v>
      </c>
      <c r="T27" s="97"/>
    </row>
    <row r="28" spans="1:26" s="96" customFormat="1" ht="21.75" customHeight="1">
      <c r="A28" s="102"/>
      <c r="B28" s="141"/>
      <c r="C28" s="100" t="s">
        <v>147</v>
      </c>
      <c r="D28" s="100" t="s">
        <v>146</v>
      </c>
      <c r="E28" s="101">
        <v>0</v>
      </c>
      <c r="F28" s="101">
        <f t="shared" ref="F28:F33" si="4">Q28</f>
        <v>0</v>
      </c>
      <c r="G28" s="91">
        <f t="shared" si="2"/>
        <v>0</v>
      </c>
      <c r="H28" s="92">
        <v>0</v>
      </c>
      <c r="I28" s="104" t="s">
        <v>147</v>
      </c>
      <c r="J28" s="105"/>
      <c r="K28" s="105"/>
      <c r="L28" s="105"/>
      <c r="M28" s="105"/>
      <c r="N28" s="105"/>
      <c r="O28" s="105"/>
      <c r="P28" s="105"/>
      <c r="Q28" s="105">
        <v>0</v>
      </c>
      <c r="R28" s="111" t="s">
        <v>121</v>
      </c>
      <c r="T28" s="97"/>
    </row>
    <row r="29" spans="1:26" s="96" customFormat="1" ht="21.75" customHeight="1">
      <c r="A29" s="102"/>
      <c r="B29" s="112"/>
      <c r="C29" s="99" t="s">
        <v>200</v>
      </c>
      <c r="D29" s="100"/>
      <c r="E29" s="101">
        <v>0</v>
      </c>
      <c r="F29" s="101">
        <f t="shared" si="4"/>
        <v>12305280</v>
      </c>
      <c r="G29" s="91">
        <f t="shared" si="2"/>
        <v>12305280</v>
      </c>
      <c r="H29" s="92">
        <v>100</v>
      </c>
      <c r="I29" s="925" t="s">
        <v>512</v>
      </c>
      <c r="J29" s="926"/>
      <c r="K29" s="926"/>
      <c r="L29" s="926"/>
      <c r="M29" s="926"/>
      <c r="N29" s="142"/>
      <c r="O29" s="142"/>
      <c r="P29" s="142"/>
      <c r="Q29" s="142">
        <v>12305280</v>
      </c>
      <c r="R29" s="111" t="s">
        <v>121</v>
      </c>
      <c r="T29" s="97">
        <v>2931420</v>
      </c>
      <c r="U29" s="97">
        <f>T29*12</f>
        <v>35177040</v>
      </c>
    </row>
    <row r="30" spans="1:26" s="96" customFormat="1" ht="21.75" customHeight="1">
      <c r="A30" s="102"/>
      <c r="B30" s="112"/>
      <c r="C30" s="100" t="s">
        <v>445</v>
      </c>
      <c r="D30" s="100"/>
      <c r="E30" s="101">
        <v>0</v>
      </c>
      <c r="F30" s="101">
        <f t="shared" si="4"/>
        <v>12000000</v>
      </c>
      <c r="G30" s="91">
        <f t="shared" si="2"/>
        <v>12000000</v>
      </c>
      <c r="H30" s="92">
        <v>100</v>
      </c>
      <c r="I30" s="925" t="s">
        <v>298</v>
      </c>
      <c r="J30" s="926"/>
      <c r="K30" s="926"/>
      <c r="L30" s="926"/>
      <c r="M30" s="926"/>
      <c r="N30" s="142"/>
      <c r="O30" s="142"/>
      <c r="P30" s="142"/>
      <c r="Q30" s="142">
        <v>12000000</v>
      </c>
      <c r="R30" s="111" t="s">
        <v>121</v>
      </c>
      <c r="T30" s="97">
        <v>43916</v>
      </c>
      <c r="U30" s="97">
        <f>T30*80*12</f>
        <v>42159360</v>
      </c>
    </row>
    <row r="31" spans="1:26" s="96" customFormat="1" ht="21.75" customHeight="1">
      <c r="A31" s="102"/>
      <c r="B31" s="112"/>
      <c r="C31" s="100" t="s">
        <v>429</v>
      </c>
      <c r="D31" s="100"/>
      <c r="E31" s="101">
        <v>0</v>
      </c>
      <c r="F31" s="101">
        <f t="shared" si="4"/>
        <v>2000000</v>
      </c>
      <c r="G31" s="91">
        <f t="shared" si="2"/>
        <v>2000000</v>
      </c>
      <c r="H31" s="92">
        <v>100</v>
      </c>
      <c r="I31" s="104" t="s">
        <v>429</v>
      </c>
      <c r="J31" s="105"/>
      <c r="K31" s="105"/>
      <c r="L31" s="105"/>
      <c r="M31" s="105"/>
      <c r="N31" s="105"/>
      <c r="O31" s="105"/>
      <c r="P31" s="105"/>
      <c r="Q31" s="105">
        <v>2000000</v>
      </c>
      <c r="R31" s="111" t="s">
        <v>121</v>
      </c>
      <c r="T31" s="97"/>
      <c r="U31" s="127">
        <f>SUM(U29:U30)</f>
        <v>77336400</v>
      </c>
    </row>
    <row r="32" spans="1:26" s="96" customFormat="1" ht="21.75" customHeight="1">
      <c r="A32" s="143"/>
      <c r="B32" s="139"/>
      <c r="C32" s="100" t="s">
        <v>128</v>
      </c>
      <c r="D32" s="100"/>
      <c r="E32" s="101">
        <v>0</v>
      </c>
      <c r="F32" s="101">
        <f t="shared" si="4"/>
        <v>1500000</v>
      </c>
      <c r="G32" s="91">
        <f t="shared" si="2"/>
        <v>1500000</v>
      </c>
      <c r="H32" s="92">
        <v>100</v>
      </c>
      <c r="I32" s="927" t="s">
        <v>36</v>
      </c>
      <c r="J32" s="928"/>
      <c r="K32" s="928"/>
      <c r="L32" s="928"/>
      <c r="M32" s="928"/>
      <c r="N32" s="144"/>
      <c r="O32" s="144"/>
      <c r="P32" s="144"/>
      <c r="Q32" s="144">
        <v>1500000</v>
      </c>
      <c r="R32" s="111" t="s">
        <v>121</v>
      </c>
      <c r="T32" s="97"/>
    </row>
    <row r="33" spans="1:20" s="96" customFormat="1" ht="21.75" customHeight="1">
      <c r="A33" s="143"/>
      <c r="B33" s="139"/>
      <c r="C33" s="139" t="s">
        <v>493</v>
      </c>
      <c r="D33" s="100"/>
      <c r="E33" s="101">
        <v>0</v>
      </c>
      <c r="F33" s="101">
        <f t="shared" si="4"/>
        <v>0</v>
      </c>
      <c r="G33" s="91">
        <f t="shared" si="2"/>
        <v>0</v>
      </c>
      <c r="H33" s="92">
        <v>0</v>
      </c>
      <c r="I33" s="929" t="s">
        <v>514</v>
      </c>
      <c r="J33" s="930"/>
      <c r="K33" s="930"/>
      <c r="L33" s="930"/>
      <c r="M33" s="930"/>
      <c r="N33" s="105"/>
      <c r="O33" s="105"/>
      <c r="P33" s="105"/>
      <c r="Q33" s="105">
        <v>0</v>
      </c>
      <c r="R33" s="111" t="s">
        <v>121</v>
      </c>
      <c r="T33" s="97"/>
    </row>
    <row r="34" spans="1:20" s="96" customFormat="1" ht="21.75" customHeight="1">
      <c r="A34" s="143" t="s">
        <v>449</v>
      </c>
      <c r="B34" s="931" t="s">
        <v>114</v>
      </c>
      <c r="C34" s="932"/>
      <c r="D34" s="139"/>
      <c r="E34" s="125">
        <v>0</v>
      </c>
      <c r="F34" s="125">
        <f>F35</f>
        <v>18000000</v>
      </c>
      <c r="G34" s="91">
        <f t="shared" si="2"/>
        <v>18000000</v>
      </c>
      <c r="H34" s="92">
        <v>100</v>
      </c>
      <c r="I34" s="93" t="s">
        <v>488</v>
      </c>
      <c r="J34" s="94"/>
      <c r="K34" s="94"/>
      <c r="L34" s="94"/>
      <c r="M34" s="94"/>
      <c r="N34" s="94"/>
      <c r="O34" s="94"/>
      <c r="P34" s="94"/>
      <c r="Q34" s="94">
        <f>Q35</f>
        <v>18000000</v>
      </c>
      <c r="R34" s="95" t="s">
        <v>121</v>
      </c>
      <c r="T34" s="97"/>
    </row>
    <row r="35" spans="1:20" s="96" customFormat="1" ht="21.75" customHeight="1">
      <c r="A35" s="98"/>
      <c r="B35" s="100" t="s">
        <v>139</v>
      </c>
      <c r="C35" s="100" t="s">
        <v>164</v>
      </c>
      <c r="D35" s="100"/>
      <c r="E35" s="101">
        <v>0</v>
      </c>
      <c r="F35" s="101">
        <f>SUM(F36:F38)</f>
        <v>18000000</v>
      </c>
      <c r="G35" s="91">
        <f t="shared" si="2"/>
        <v>18000000</v>
      </c>
      <c r="H35" s="92">
        <v>100</v>
      </c>
      <c r="I35" s="93" t="s">
        <v>481</v>
      </c>
      <c r="J35" s="94"/>
      <c r="K35" s="94"/>
      <c r="L35" s="94"/>
      <c r="M35" s="94"/>
      <c r="N35" s="94"/>
      <c r="O35" s="94"/>
      <c r="P35" s="94"/>
      <c r="Q35" s="94">
        <f>Q36+Q37+Q38</f>
        <v>18000000</v>
      </c>
      <c r="R35" s="95" t="s">
        <v>121</v>
      </c>
      <c r="T35" s="97"/>
    </row>
    <row r="36" spans="1:20" s="96" customFormat="1" ht="24.75" customHeight="1">
      <c r="A36" s="102"/>
      <c r="B36" s="141"/>
      <c r="C36" s="100" t="s">
        <v>139</v>
      </c>
      <c r="D36" s="100"/>
      <c r="E36" s="101">
        <v>0</v>
      </c>
      <c r="F36" s="101">
        <f>Q36</f>
        <v>0</v>
      </c>
      <c r="G36" s="91">
        <f t="shared" si="2"/>
        <v>0</v>
      </c>
      <c r="H36" s="92">
        <v>0</v>
      </c>
      <c r="I36" s="104" t="s">
        <v>489</v>
      </c>
      <c r="J36" s="105"/>
      <c r="K36" s="105"/>
      <c r="L36" s="105"/>
      <c r="M36" s="105"/>
      <c r="N36" s="105"/>
      <c r="O36" s="105"/>
      <c r="P36" s="105"/>
      <c r="Q36" s="105">
        <v>0</v>
      </c>
      <c r="R36" s="111" t="s">
        <v>121</v>
      </c>
      <c r="T36" s="97"/>
    </row>
    <row r="37" spans="1:20" s="96" customFormat="1" ht="24" customHeight="1">
      <c r="A37" s="102"/>
      <c r="B37" s="112"/>
      <c r="C37" s="99" t="s">
        <v>473</v>
      </c>
      <c r="D37" s="99"/>
      <c r="E37" s="101">
        <v>0</v>
      </c>
      <c r="F37" s="101">
        <f>Q37</f>
        <v>0</v>
      </c>
      <c r="G37" s="91">
        <f t="shared" si="2"/>
        <v>0</v>
      </c>
      <c r="H37" s="92">
        <v>0</v>
      </c>
      <c r="I37" s="104" t="s">
        <v>473</v>
      </c>
      <c r="J37" s="105"/>
      <c r="K37" s="105">
        <v>0</v>
      </c>
      <c r="L37" s="107" t="s">
        <v>123</v>
      </c>
      <c r="M37" s="145">
        <v>0</v>
      </c>
      <c r="N37" s="107"/>
      <c r="O37" s="105"/>
      <c r="P37" s="110" t="s">
        <v>153</v>
      </c>
      <c r="Q37" s="105">
        <f>K37*M37</f>
        <v>0</v>
      </c>
      <c r="R37" s="111" t="s">
        <v>121</v>
      </c>
      <c r="T37" s="97"/>
    </row>
    <row r="38" spans="1:20" s="96" customFormat="1" ht="19.5" customHeight="1">
      <c r="A38" s="102"/>
      <c r="B38" s="112"/>
      <c r="C38" s="103" t="s">
        <v>521</v>
      </c>
      <c r="D38" s="103" t="s">
        <v>482</v>
      </c>
      <c r="E38" s="146">
        <v>0</v>
      </c>
      <c r="F38" s="146">
        <f>Q38</f>
        <v>18000000</v>
      </c>
      <c r="G38" s="129">
        <f t="shared" si="2"/>
        <v>18000000</v>
      </c>
      <c r="H38" s="92">
        <v>100</v>
      </c>
      <c r="I38" s="929" t="s">
        <v>26</v>
      </c>
      <c r="J38" s="930"/>
      <c r="K38" s="105">
        <v>1500000</v>
      </c>
      <c r="L38" s="107" t="s">
        <v>123</v>
      </c>
      <c r="M38" s="108">
        <v>12</v>
      </c>
      <c r="N38" s="107"/>
      <c r="O38" s="105"/>
      <c r="P38" s="110" t="s">
        <v>153</v>
      </c>
      <c r="Q38" s="105">
        <f>K38*M38</f>
        <v>18000000</v>
      </c>
      <c r="R38" s="111" t="s">
        <v>121</v>
      </c>
      <c r="T38" s="97"/>
    </row>
    <row r="39" spans="1:20" s="96" customFormat="1" ht="19.5" customHeight="1">
      <c r="A39" s="88" t="s">
        <v>178</v>
      </c>
      <c r="B39" s="923" t="s">
        <v>114</v>
      </c>
      <c r="C39" s="924"/>
      <c r="D39" s="99"/>
      <c r="E39" s="101">
        <v>0</v>
      </c>
      <c r="F39" s="101">
        <f>F40+F46</f>
        <v>107376000</v>
      </c>
      <c r="G39" s="91">
        <f t="shared" si="2"/>
        <v>107376000</v>
      </c>
      <c r="H39" s="92">
        <v>100</v>
      </c>
      <c r="I39" s="93" t="s">
        <v>495</v>
      </c>
      <c r="J39" s="94"/>
      <c r="K39" s="94"/>
      <c r="L39" s="94"/>
      <c r="M39" s="94"/>
      <c r="N39" s="94"/>
      <c r="O39" s="94"/>
      <c r="P39" s="94"/>
      <c r="Q39" s="94">
        <f>Q40+Q46</f>
        <v>105376000</v>
      </c>
      <c r="R39" s="95" t="s">
        <v>121</v>
      </c>
      <c r="T39" s="97"/>
    </row>
    <row r="40" spans="1:20" s="96" customFormat="1" ht="28.5" customHeight="1">
      <c r="A40" s="98"/>
      <c r="B40" s="100" t="s">
        <v>162</v>
      </c>
      <c r="C40" s="99" t="s">
        <v>164</v>
      </c>
      <c r="D40" s="99"/>
      <c r="E40" s="101">
        <v>0</v>
      </c>
      <c r="F40" s="101">
        <f>SUM(F41:F45)</f>
        <v>66976000</v>
      </c>
      <c r="G40" s="91">
        <f t="shared" si="2"/>
        <v>66976000</v>
      </c>
      <c r="H40" s="92">
        <v>100</v>
      </c>
      <c r="I40" s="921" t="s">
        <v>212</v>
      </c>
      <c r="J40" s="922"/>
      <c r="K40" s="922"/>
      <c r="L40" s="922"/>
      <c r="M40" s="922"/>
      <c r="N40" s="94"/>
      <c r="O40" s="94"/>
      <c r="P40" s="94"/>
      <c r="Q40" s="94">
        <f>Q41+Q43+Q42+Q44+Q45</f>
        <v>66976000</v>
      </c>
      <c r="R40" s="95" t="s">
        <v>121</v>
      </c>
      <c r="T40" s="97"/>
    </row>
    <row r="41" spans="1:20" s="96" customFormat="1" ht="24.75" customHeight="1">
      <c r="A41" s="102"/>
      <c r="B41" s="141"/>
      <c r="C41" s="99" t="s">
        <v>149</v>
      </c>
      <c r="D41" s="99"/>
      <c r="E41" s="101">
        <v>0</v>
      </c>
      <c r="F41" s="101">
        <f>Q41</f>
        <v>39936000</v>
      </c>
      <c r="G41" s="91">
        <f t="shared" si="2"/>
        <v>39936000</v>
      </c>
      <c r="H41" s="92">
        <v>100</v>
      </c>
      <c r="I41" s="104" t="s">
        <v>149</v>
      </c>
      <c r="J41" s="105"/>
      <c r="K41" s="105">
        <v>4800</v>
      </c>
      <c r="L41" s="107" t="s">
        <v>123</v>
      </c>
      <c r="M41" s="147">
        <v>260</v>
      </c>
      <c r="N41" s="107" t="s">
        <v>123</v>
      </c>
      <c r="O41" s="109">
        <v>32</v>
      </c>
      <c r="P41" s="110" t="s">
        <v>153</v>
      </c>
      <c r="Q41" s="106">
        <f>K41*M41*O41</f>
        <v>39936000</v>
      </c>
      <c r="R41" s="111" t="s">
        <v>121</v>
      </c>
      <c r="T41" s="97"/>
    </row>
    <row r="42" spans="1:20" s="96" customFormat="1" ht="24.75" customHeight="1">
      <c r="A42" s="102"/>
      <c r="B42" s="148"/>
      <c r="C42" s="123" t="s">
        <v>463</v>
      </c>
      <c r="D42" s="120"/>
      <c r="E42" s="149">
        <v>0</v>
      </c>
      <c r="F42" s="101">
        <f>Q42</f>
        <v>7200000</v>
      </c>
      <c r="G42" s="91">
        <f t="shared" si="2"/>
        <v>7200000</v>
      </c>
      <c r="H42" s="92">
        <v>100</v>
      </c>
      <c r="I42" s="104" t="s">
        <v>463</v>
      </c>
      <c r="J42" s="105"/>
      <c r="K42" s="105">
        <v>600000</v>
      </c>
      <c r="L42" s="107" t="s">
        <v>123</v>
      </c>
      <c r="M42" s="108">
        <v>12</v>
      </c>
      <c r="N42" s="107"/>
      <c r="O42" s="105"/>
      <c r="P42" s="110" t="s">
        <v>153</v>
      </c>
      <c r="Q42" s="105">
        <f>K42*M42</f>
        <v>7200000</v>
      </c>
      <c r="R42" s="111" t="s">
        <v>121</v>
      </c>
      <c r="S42" s="150"/>
      <c r="T42" s="97"/>
    </row>
    <row r="43" spans="1:20" s="96" customFormat="1" ht="24.75" customHeight="1">
      <c r="A43" s="102"/>
      <c r="B43" s="148"/>
      <c r="C43" s="141" t="s">
        <v>138</v>
      </c>
      <c r="D43" s="100"/>
      <c r="E43" s="101">
        <v>0</v>
      </c>
      <c r="F43" s="101">
        <f>Q43</f>
        <v>640000</v>
      </c>
      <c r="G43" s="91">
        <f t="shared" si="2"/>
        <v>640000</v>
      </c>
      <c r="H43" s="92">
        <v>100</v>
      </c>
      <c r="I43" s="104" t="s">
        <v>453</v>
      </c>
      <c r="J43" s="105"/>
      <c r="K43" s="105">
        <v>20000</v>
      </c>
      <c r="L43" s="107" t="s">
        <v>123</v>
      </c>
      <c r="M43" s="109">
        <v>32</v>
      </c>
      <c r="N43" s="107"/>
      <c r="O43" s="105"/>
      <c r="P43" s="110" t="s">
        <v>153</v>
      </c>
      <c r="Q43" s="105">
        <f>K43*M43</f>
        <v>640000</v>
      </c>
      <c r="R43" s="111" t="s">
        <v>121</v>
      </c>
      <c r="S43" s="150"/>
      <c r="T43" s="97">
        <f>F41*70%</f>
        <v>27955200</v>
      </c>
    </row>
    <row r="44" spans="1:20" s="96" customFormat="1" ht="24.75" customHeight="1">
      <c r="A44" s="143"/>
      <c r="B44" s="151"/>
      <c r="C44" s="139" t="s">
        <v>125</v>
      </c>
      <c r="D44" s="100"/>
      <c r="E44" s="101">
        <v>0</v>
      </c>
      <c r="F44" s="101">
        <f>Q44</f>
        <v>1200000</v>
      </c>
      <c r="G44" s="91">
        <f t="shared" si="2"/>
        <v>1200000</v>
      </c>
      <c r="H44" s="92">
        <v>100</v>
      </c>
      <c r="I44" s="104" t="s">
        <v>125</v>
      </c>
      <c r="J44" s="105"/>
      <c r="K44" s="105">
        <v>100000</v>
      </c>
      <c r="L44" s="107" t="s">
        <v>123</v>
      </c>
      <c r="M44" s="108">
        <v>12</v>
      </c>
      <c r="N44" s="107"/>
      <c r="O44" s="105"/>
      <c r="P44" s="110" t="s">
        <v>153</v>
      </c>
      <c r="Q44" s="105">
        <f>K44*M44</f>
        <v>1200000</v>
      </c>
      <c r="R44" s="111" t="s">
        <v>121</v>
      </c>
      <c r="S44" s="150"/>
      <c r="T44" s="97">
        <f>F41*30%</f>
        <v>11980800</v>
      </c>
    </row>
    <row r="45" spans="1:20" s="96" customFormat="1" ht="24.75" customHeight="1">
      <c r="A45" s="102"/>
      <c r="B45" s="151"/>
      <c r="C45" s="139" t="s">
        <v>148</v>
      </c>
      <c r="D45" s="100"/>
      <c r="E45" s="101">
        <v>0</v>
      </c>
      <c r="F45" s="101">
        <f>Q45</f>
        <v>18000000</v>
      </c>
      <c r="G45" s="91">
        <f t="shared" si="2"/>
        <v>18000000</v>
      </c>
      <c r="H45" s="92">
        <v>100</v>
      </c>
      <c r="I45" s="104" t="s">
        <v>291</v>
      </c>
      <c r="J45" s="105"/>
      <c r="K45" s="105">
        <v>1500000</v>
      </c>
      <c r="L45" s="107" t="s">
        <v>123</v>
      </c>
      <c r="M45" s="108">
        <v>12</v>
      </c>
      <c r="N45" s="107"/>
      <c r="O45" s="105"/>
      <c r="P45" s="110" t="s">
        <v>153</v>
      </c>
      <c r="Q45" s="105">
        <f>K45*M45</f>
        <v>18000000</v>
      </c>
      <c r="R45" s="111" t="s">
        <v>121</v>
      </c>
      <c r="S45" s="150"/>
      <c r="T45" s="97" t="e">
        <f>#REF!+#REF!+#REF!+'라-2.자부담세출'!F53+'라-3.후원금세출'!F53+#REF!</f>
        <v>#REF!</v>
      </c>
    </row>
    <row r="46" spans="1:20" s="96" customFormat="1" ht="24.75" customHeight="1">
      <c r="A46" s="102"/>
      <c r="B46" s="100" t="s">
        <v>178</v>
      </c>
      <c r="C46" s="99" t="s">
        <v>164</v>
      </c>
      <c r="D46" s="99"/>
      <c r="E46" s="101">
        <v>0</v>
      </c>
      <c r="F46" s="101">
        <f>SUM(F47:F51)</f>
        <v>40400000</v>
      </c>
      <c r="G46" s="91">
        <f t="shared" si="2"/>
        <v>40400000</v>
      </c>
      <c r="H46" s="92">
        <v>100</v>
      </c>
      <c r="I46" s="921" t="s">
        <v>288</v>
      </c>
      <c r="J46" s="922"/>
      <c r="K46" s="922"/>
      <c r="L46" s="922"/>
      <c r="M46" s="922"/>
      <c r="N46" s="94"/>
      <c r="O46" s="94"/>
      <c r="P46" s="94"/>
      <c r="Q46" s="94">
        <f>Q47+Q48+Q49+Q50</f>
        <v>38400000</v>
      </c>
      <c r="R46" s="95" t="s">
        <v>121</v>
      </c>
      <c r="S46" s="150"/>
      <c r="T46" s="97"/>
    </row>
    <row r="47" spans="1:20" s="96" customFormat="1" ht="24.75" customHeight="1">
      <c r="A47" s="102"/>
      <c r="B47" s="112"/>
      <c r="C47" s="103" t="s">
        <v>426</v>
      </c>
      <c r="D47" s="103"/>
      <c r="E47" s="146">
        <v>0</v>
      </c>
      <c r="F47" s="101">
        <f>Q47</f>
        <v>9600000</v>
      </c>
      <c r="G47" s="129">
        <f t="shared" si="2"/>
        <v>9600000</v>
      </c>
      <c r="H47" s="92">
        <v>100</v>
      </c>
      <c r="I47" s="152" t="s">
        <v>426</v>
      </c>
      <c r="J47" s="106"/>
      <c r="K47" s="105">
        <v>800000</v>
      </c>
      <c r="L47" s="107" t="s">
        <v>123</v>
      </c>
      <c r="M47" s="108">
        <v>12</v>
      </c>
      <c r="N47" s="107"/>
      <c r="O47" s="105"/>
      <c r="P47" s="110" t="s">
        <v>153</v>
      </c>
      <c r="Q47" s="105">
        <f>K47*M47</f>
        <v>9600000</v>
      </c>
      <c r="R47" s="111" t="s">
        <v>121</v>
      </c>
      <c r="S47" s="150"/>
      <c r="T47" s="97"/>
    </row>
    <row r="48" spans="1:20" s="96" customFormat="1" ht="30.75" customHeight="1">
      <c r="A48" s="102"/>
      <c r="B48" s="112"/>
      <c r="C48" s="99" t="s">
        <v>507</v>
      </c>
      <c r="D48" s="99"/>
      <c r="E48" s="101">
        <v>0</v>
      </c>
      <c r="F48" s="101">
        <f>Q48</f>
        <v>9600000</v>
      </c>
      <c r="G48" s="91">
        <f t="shared" si="2"/>
        <v>9600000</v>
      </c>
      <c r="H48" s="92">
        <v>100</v>
      </c>
      <c r="I48" s="152" t="s">
        <v>507</v>
      </c>
      <c r="J48" s="106"/>
      <c r="K48" s="105">
        <v>800000</v>
      </c>
      <c r="L48" s="107" t="s">
        <v>123</v>
      </c>
      <c r="M48" s="108">
        <v>12</v>
      </c>
      <c r="N48" s="107"/>
      <c r="O48" s="105"/>
      <c r="P48" s="110" t="s">
        <v>153</v>
      </c>
      <c r="Q48" s="105">
        <f>K48*M48</f>
        <v>9600000</v>
      </c>
      <c r="R48" s="111" t="s">
        <v>121</v>
      </c>
      <c r="T48" s="97"/>
    </row>
    <row r="49" spans="1:20" s="96" customFormat="1" ht="24.75" customHeight="1">
      <c r="A49" s="102"/>
      <c r="B49" s="112"/>
      <c r="C49" s="103" t="s">
        <v>440</v>
      </c>
      <c r="D49" s="99"/>
      <c r="E49" s="101">
        <v>0</v>
      </c>
      <c r="F49" s="101">
        <f>Q49</f>
        <v>9600000</v>
      </c>
      <c r="G49" s="91">
        <f t="shared" si="2"/>
        <v>9600000</v>
      </c>
      <c r="H49" s="92">
        <v>100</v>
      </c>
      <c r="I49" s="152" t="s">
        <v>440</v>
      </c>
      <c r="J49" s="153"/>
      <c r="K49" s="105">
        <v>800000</v>
      </c>
      <c r="L49" s="107" t="s">
        <v>123</v>
      </c>
      <c r="M49" s="108">
        <v>12</v>
      </c>
      <c r="N49" s="107"/>
      <c r="O49" s="105"/>
      <c r="P49" s="110" t="s">
        <v>153</v>
      </c>
      <c r="Q49" s="105">
        <f>K49*M49</f>
        <v>9600000</v>
      </c>
      <c r="R49" s="111" t="s">
        <v>121</v>
      </c>
      <c r="T49" s="97"/>
    </row>
    <row r="50" spans="1:20" s="96" customFormat="1" ht="20.25" customHeight="1">
      <c r="A50" s="102"/>
      <c r="B50" s="112"/>
      <c r="C50" s="120" t="s">
        <v>459</v>
      </c>
      <c r="D50" s="99"/>
      <c r="E50" s="101">
        <v>0</v>
      </c>
      <c r="F50" s="101">
        <f>Q50</f>
        <v>9600000</v>
      </c>
      <c r="G50" s="91">
        <f t="shared" si="2"/>
        <v>9600000</v>
      </c>
      <c r="H50" s="92">
        <v>100</v>
      </c>
      <c r="I50" s="152" t="s">
        <v>459</v>
      </c>
      <c r="J50" s="106"/>
      <c r="K50" s="105">
        <v>800000</v>
      </c>
      <c r="L50" s="107" t="s">
        <v>123</v>
      </c>
      <c r="M50" s="108">
        <v>12</v>
      </c>
      <c r="N50" s="107"/>
      <c r="O50" s="105"/>
      <c r="P50" s="110" t="s">
        <v>153</v>
      </c>
      <c r="Q50" s="105">
        <f>K50*M50</f>
        <v>9600000</v>
      </c>
      <c r="R50" s="111" t="s">
        <v>121</v>
      </c>
      <c r="T50" s="97"/>
    </row>
    <row r="51" spans="1:20" s="96" customFormat="1" ht="25.5" customHeight="1">
      <c r="A51" s="102"/>
      <c r="B51" s="139"/>
      <c r="C51" s="124" t="s">
        <v>474</v>
      </c>
      <c r="D51" s="99"/>
      <c r="E51" s="101">
        <v>0</v>
      </c>
      <c r="F51" s="101">
        <f>Q51</f>
        <v>2000000</v>
      </c>
      <c r="G51" s="91">
        <f t="shared" si="2"/>
        <v>2000000</v>
      </c>
      <c r="H51" s="92">
        <v>100</v>
      </c>
      <c r="I51" s="152" t="s">
        <v>494</v>
      </c>
      <c r="J51" s="106"/>
      <c r="K51" s="106"/>
      <c r="L51" s="106"/>
      <c r="M51" s="106"/>
      <c r="N51" s="106"/>
      <c r="O51" s="106"/>
      <c r="P51" s="106"/>
      <c r="Q51" s="106">
        <v>2000000</v>
      </c>
      <c r="R51" s="111" t="s">
        <v>121</v>
      </c>
      <c r="T51" s="97"/>
    </row>
    <row r="52" spans="1:20" s="96" customFormat="1" ht="22.5" customHeight="1">
      <c r="A52" s="88" t="s">
        <v>109</v>
      </c>
      <c r="B52" s="923" t="s">
        <v>114</v>
      </c>
      <c r="C52" s="924"/>
      <c r="D52" s="99"/>
      <c r="E52" s="101">
        <v>0</v>
      </c>
      <c r="F52" s="101">
        <f>F53</f>
        <v>172000</v>
      </c>
      <c r="G52" s="91">
        <f t="shared" si="2"/>
        <v>172000</v>
      </c>
      <c r="H52" s="92">
        <v>100</v>
      </c>
      <c r="I52" s="93" t="s">
        <v>455</v>
      </c>
      <c r="J52" s="94"/>
      <c r="K52" s="94"/>
      <c r="L52" s="94"/>
      <c r="M52" s="94"/>
      <c r="N52" s="94"/>
      <c r="O52" s="94"/>
      <c r="P52" s="94"/>
      <c r="Q52" s="94">
        <f>Q53</f>
        <v>172000</v>
      </c>
      <c r="R52" s="95" t="s">
        <v>121</v>
      </c>
      <c r="T52" s="97"/>
    </row>
    <row r="53" spans="1:20" s="96" customFormat="1" ht="22.5" customHeight="1">
      <c r="A53" s="98"/>
      <c r="B53" s="100" t="s">
        <v>109</v>
      </c>
      <c r="C53" s="100" t="s">
        <v>164</v>
      </c>
      <c r="D53" s="100"/>
      <c r="E53" s="90">
        <v>0</v>
      </c>
      <c r="F53" s="90">
        <f>F54</f>
        <v>172000</v>
      </c>
      <c r="G53" s="91">
        <f t="shared" si="2"/>
        <v>172000</v>
      </c>
      <c r="H53" s="92">
        <v>100</v>
      </c>
      <c r="I53" s="93" t="s">
        <v>485</v>
      </c>
      <c r="J53" s="94"/>
      <c r="K53" s="94"/>
      <c r="L53" s="94"/>
      <c r="M53" s="94"/>
      <c r="N53" s="94"/>
      <c r="O53" s="94"/>
      <c r="P53" s="94"/>
      <c r="Q53" s="94">
        <f>Q54</f>
        <v>172000</v>
      </c>
      <c r="R53" s="95" t="s">
        <v>121</v>
      </c>
      <c r="T53" s="97"/>
    </row>
    <row r="54" spans="1:20" s="96" customFormat="1" ht="22.5" customHeight="1">
      <c r="A54" s="143"/>
      <c r="B54" s="100"/>
      <c r="C54" s="100" t="s">
        <v>109</v>
      </c>
      <c r="D54" s="100"/>
      <c r="E54" s="154">
        <v>0</v>
      </c>
      <c r="F54" s="101">
        <f>Q54</f>
        <v>172000</v>
      </c>
      <c r="G54" s="91">
        <f t="shared" si="2"/>
        <v>172000</v>
      </c>
      <c r="H54" s="92">
        <v>100</v>
      </c>
      <c r="I54" s="104" t="s">
        <v>109</v>
      </c>
      <c r="J54" s="105"/>
      <c r="K54" s="105"/>
      <c r="L54" s="105"/>
      <c r="M54" s="105"/>
      <c r="N54" s="105"/>
      <c r="O54" s="105"/>
      <c r="P54" s="105"/>
      <c r="Q54" s="105">
        <v>172000</v>
      </c>
      <c r="R54" s="111" t="s">
        <v>121</v>
      </c>
      <c r="T54" s="97"/>
    </row>
    <row r="55" spans="1:20" s="96" customFormat="1" ht="23.25" customHeight="1">
      <c r="A55" s="88" t="s">
        <v>462</v>
      </c>
      <c r="B55" s="923" t="s">
        <v>114</v>
      </c>
      <c r="C55" s="924"/>
      <c r="D55" s="100"/>
      <c r="E55" s="90">
        <v>0</v>
      </c>
      <c r="F55" s="90">
        <f>F56</f>
        <v>0</v>
      </c>
      <c r="G55" s="91">
        <f t="shared" si="2"/>
        <v>0</v>
      </c>
      <c r="H55" s="92">
        <v>0</v>
      </c>
      <c r="I55" s="93" t="s">
        <v>492</v>
      </c>
      <c r="J55" s="94"/>
      <c r="K55" s="94"/>
      <c r="L55" s="94"/>
      <c r="M55" s="94"/>
      <c r="N55" s="94"/>
      <c r="O55" s="94"/>
      <c r="P55" s="94"/>
      <c r="Q55" s="94">
        <f>Q56</f>
        <v>0</v>
      </c>
      <c r="R55" s="95" t="s">
        <v>121</v>
      </c>
      <c r="T55" s="97"/>
    </row>
    <row r="56" spans="1:20" s="96" customFormat="1" ht="24" customHeight="1">
      <c r="A56" s="98"/>
      <c r="B56" s="119" t="s">
        <v>154</v>
      </c>
      <c r="C56" s="100" t="s">
        <v>164</v>
      </c>
      <c r="D56" s="100"/>
      <c r="E56" s="101">
        <v>0</v>
      </c>
      <c r="F56" s="101">
        <f>F57</f>
        <v>0</v>
      </c>
      <c r="G56" s="91">
        <f t="shared" si="2"/>
        <v>0</v>
      </c>
      <c r="H56" s="92">
        <v>0</v>
      </c>
      <c r="I56" s="93" t="s">
        <v>478</v>
      </c>
      <c r="J56" s="94"/>
      <c r="K56" s="94"/>
      <c r="L56" s="94"/>
      <c r="M56" s="94"/>
      <c r="N56" s="94"/>
      <c r="O56" s="94"/>
      <c r="P56" s="94"/>
      <c r="Q56" s="94">
        <f>Q57</f>
        <v>0</v>
      </c>
      <c r="R56" s="95" t="s">
        <v>121</v>
      </c>
      <c r="T56" s="97"/>
    </row>
    <row r="57" spans="1:20" s="96" customFormat="1" ht="24" customHeight="1">
      <c r="A57" s="155"/>
      <c r="B57" s="156"/>
      <c r="C57" s="157" t="s">
        <v>154</v>
      </c>
      <c r="D57" s="157"/>
      <c r="E57" s="158">
        <v>0</v>
      </c>
      <c r="F57" s="158">
        <f>Q57</f>
        <v>0</v>
      </c>
      <c r="G57" s="159">
        <f t="shared" si="2"/>
        <v>0</v>
      </c>
      <c r="H57" s="160">
        <v>0</v>
      </c>
      <c r="I57" s="161" t="s">
        <v>154</v>
      </c>
      <c r="J57" s="162"/>
      <c r="K57" s="162"/>
      <c r="L57" s="162"/>
      <c r="M57" s="162"/>
      <c r="N57" s="162"/>
      <c r="O57" s="162"/>
      <c r="P57" s="162"/>
      <c r="Q57" s="162">
        <v>0</v>
      </c>
      <c r="R57" s="163" t="s">
        <v>121</v>
      </c>
      <c r="T57" s="97"/>
    </row>
    <row r="58" spans="1:20" s="96" customFormat="1" ht="24" customHeight="1">
      <c r="A58" s="164"/>
      <c r="B58" s="164"/>
      <c r="C58" s="165"/>
      <c r="D58" s="165"/>
      <c r="E58" s="166"/>
      <c r="F58" s="166"/>
      <c r="G58" s="167"/>
      <c r="H58" s="168"/>
      <c r="I58" s="169"/>
      <c r="T58" s="97"/>
    </row>
    <row r="59" spans="1:20" s="96" customFormat="1" ht="24" customHeight="1">
      <c r="E59" s="166"/>
      <c r="G59" s="167"/>
      <c r="I59" s="169"/>
      <c r="T59" s="97"/>
    </row>
    <row r="60" spans="1:20" s="96" customFormat="1" ht="24" customHeight="1">
      <c r="E60" s="166"/>
      <c r="G60" s="167"/>
      <c r="I60" s="169"/>
      <c r="T60" s="97"/>
    </row>
    <row r="61" spans="1:20" s="96" customFormat="1" ht="24" customHeight="1">
      <c r="E61" s="166"/>
      <c r="G61" s="167"/>
      <c r="I61" s="169"/>
      <c r="T61" s="97"/>
    </row>
    <row r="62" spans="1:20" s="96" customFormat="1" ht="16.5" customHeight="1">
      <c r="E62" s="166"/>
      <c r="G62" s="167"/>
      <c r="I62" s="169"/>
      <c r="T62" s="97"/>
    </row>
    <row r="63" spans="1:20" s="96" customFormat="1" ht="12" customHeight="1">
      <c r="E63" s="166"/>
      <c r="G63" s="167"/>
      <c r="I63" s="169"/>
      <c r="T63" s="97"/>
    </row>
    <row r="64" spans="1:20" s="96" customFormat="1" ht="12" customHeight="1">
      <c r="E64" s="166"/>
      <c r="G64" s="167"/>
      <c r="I64" s="169"/>
      <c r="T64" s="97"/>
    </row>
    <row r="65" spans="5:20" s="96" customFormat="1" ht="12" customHeight="1">
      <c r="E65" s="166"/>
      <c r="G65" s="167"/>
      <c r="I65" s="169"/>
      <c r="T65" s="97"/>
    </row>
    <row r="66" spans="5:20" s="96" customFormat="1" ht="12" customHeight="1">
      <c r="E66" s="166"/>
      <c r="G66" s="168"/>
      <c r="I66" s="169"/>
      <c r="T66" s="97"/>
    </row>
    <row r="67" spans="5:20" s="96" customFormat="1" ht="12" customHeight="1">
      <c r="E67" s="166"/>
      <c r="G67" s="168"/>
      <c r="I67" s="169"/>
      <c r="T67" s="97"/>
    </row>
    <row r="68" spans="5:20" s="96" customFormat="1" ht="12" customHeight="1">
      <c r="E68" s="166"/>
      <c r="G68" s="168"/>
      <c r="I68" s="169"/>
      <c r="T68" s="97"/>
    </row>
    <row r="69" spans="5:20" s="96" customFormat="1" ht="12" customHeight="1">
      <c r="E69" s="166"/>
      <c r="G69" s="168"/>
      <c r="I69" s="169"/>
      <c r="T69" s="97"/>
    </row>
    <row r="70" spans="5:20" s="96" customFormat="1" ht="12" customHeight="1">
      <c r="E70" s="166"/>
      <c r="G70" s="168"/>
      <c r="I70" s="169"/>
      <c r="T70" s="97"/>
    </row>
    <row r="71" spans="5:20" s="96" customFormat="1" ht="12" customHeight="1">
      <c r="E71" s="166"/>
      <c r="G71" s="168"/>
      <c r="I71" s="169"/>
      <c r="T71" s="97"/>
    </row>
    <row r="72" spans="5:20" s="96" customFormat="1" ht="12" customHeight="1">
      <c r="E72" s="166"/>
      <c r="G72" s="168"/>
      <c r="I72" s="169"/>
      <c r="T72" s="97"/>
    </row>
    <row r="73" spans="5:20" s="96" customFormat="1" ht="12" customHeight="1">
      <c r="E73" s="166"/>
      <c r="G73" s="168"/>
      <c r="I73" s="169"/>
      <c r="T73" s="97"/>
    </row>
    <row r="74" spans="5:20" s="96" customFormat="1" ht="12" customHeight="1">
      <c r="E74" s="166"/>
      <c r="G74" s="168"/>
      <c r="I74" s="169"/>
      <c r="T74" s="97"/>
    </row>
    <row r="75" spans="5:20" s="96" customFormat="1" ht="12" customHeight="1">
      <c r="E75" s="166"/>
      <c r="G75" s="168"/>
      <c r="I75" s="169"/>
      <c r="T75" s="97"/>
    </row>
    <row r="76" spans="5:20" s="96" customFormat="1" ht="12" customHeight="1">
      <c r="E76" s="166"/>
      <c r="G76" s="168"/>
      <c r="I76" s="169"/>
      <c r="T76" s="97"/>
    </row>
    <row r="77" spans="5:20" s="96" customFormat="1" ht="12" customHeight="1">
      <c r="E77" s="166"/>
      <c r="G77" s="168"/>
      <c r="I77" s="169"/>
      <c r="T77" s="97"/>
    </row>
    <row r="78" spans="5:20" s="96" customFormat="1" ht="12" customHeight="1">
      <c r="E78" s="166"/>
      <c r="G78" s="168"/>
      <c r="I78" s="169"/>
      <c r="T78" s="97"/>
    </row>
    <row r="79" spans="5:20" s="96" customFormat="1" ht="12" customHeight="1">
      <c r="E79" s="166"/>
      <c r="G79" s="168"/>
      <c r="I79" s="169"/>
      <c r="T79" s="97"/>
    </row>
    <row r="80" spans="5:20" s="96" customFormat="1" ht="12" customHeight="1">
      <c r="E80" s="166"/>
      <c r="G80" s="168"/>
      <c r="I80" s="169"/>
      <c r="T80" s="97"/>
    </row>
    <row r="81" spans="5:20" s="96" customFormat="1" ht="12" customHeight="1">
      <c r="E81" s="166"/>
      <c r="G81" s="168"/>
      <c r="I81" s="169"/>
      <c r="T81" s="97"/>
    </row>
    <row r="82" spans="5:20" s="96" customFormat="1" ht="12" customHeight="1">
      <c r="E82" s="166"/>
      <c r="G82" s="168"/>
      <c r="I82" s="169"/>
      <c r="T82" s="97"/>
    </row>
    <row r="83" spans="5:20" s="96" customFormat="1" ht="12" customHeight="1">
      <c r="E83" s="166"/>
      <c r="G83" s="168"/>
      <c r="I83" s="169"/>
      <c r="T83" s="97"/>
    </row>
    <row r="84" spans="5:20" s="96" customFormat="1" ht="12" customHeight="1">
      <c r="E84" s="166"/>
      <c r="G84" s="168"/>
      <c r="I84" s="169"/>
      <c r="T84" s="97"/>
    </row>
    <row r="85" spans="5:20" s="96" customFormat="1" ht="12" customHeight="1">
      <c r="E85" s="166"/>
      <c r="G85" s="168"/>
      <c r="I85" s="169"/>
      <c r="T85" s="97"/>
    </row>
    <row r="86" spans="5:20" s="96" customFormat="1" ht="12" customHeight="1">
      <c r="E86" s="166"/>
      <c r="G86" s="168"/>
      <c r="I86" s="169"/>
      <c r="T86" s="97"/>
    </row>
    <row r="87" spans="5:20" s="96" customFormat="1" ht="12" customHeight="1">
      <c r="E87" s="166"/>
      <c r="G87" s="168"/>
      <c r="I87" s="169"/>
      <c r="T87" s="97"/>
    </row>
    <row r="88" spans="5:20" s="96" customFormat="1" ht="12" customHeight="1">
      <c r="E88" s="166"/>
      <c r="G88" s="168"/>
      <c r="I88" s="169"/>
      <c r="T88" s="97"/>
    </row>
    <row r="89" spans="5:20" s="96" customFormat="1" ht="12" customHeight="1">
      <c r="E89" s="166"/>
      <c r="G89" s="168"/>
      <c r="I89" s="169"/>
      <c r="T89" s="97"/>
    </row>
    <row r="90" spans="5:20" s="96" customFormat="1" ht="12" customHeight="1">
      <c r="E90" s="166"/>
      <c r="G90" s="168"/>
      <c r="I90" s="169"/>
      <c r="T90" s="97"/>
    </row>
    <row r="91" spans="5:20" s="96" customFormat="1" ht="12" customHeight="1">
      <c r="E91" s="166"/>
      <c r="G91" s="168"/>
      <c r="I91" s="169"/>
      <c r="T91" s="97"/>
    </row>
    <row r="92" spans="5:20" s="96" customFormat="1" ht="12" customHeight="1">
      <c r="E92" s="166"/>
      <c r="G92" s="168"/>
      <c r="I92" s="169"/>
      <c r="T92" s="97"/>
    </row>
    <row r="93" spans="5:20" s="96" customFormat="1" ht="12" customHeight="1">
      <c r="E93" s="166"/>
      <c r="G93" s="168"/>
      <c r="I93" s="169"/>
      <c r="T93" s="97"/>
    </row>
    <row r="94" spans="5:20" s="96" customFormat="1" ht="12" customHeight="1">
      <c r="E94" s="166"/>
      <c r="G94" s="168"/>
      <c r="I94" s="169"/>
      <c r="T94" s="97"/>
    </row>
    <row r="95" spans="5:20" s="96" customFormat="1" ht="12" customHeight="1">
      <c r="E95" s="166"/>
      <c r="G95" s="168"/>
      <c r="I95" s="169"/>
      <c r="T95" s="97"/>
    </row>
    <row r="96" spans="5:20" s="96" customFormat="1" ht="12" customHeight="1">
      <c r="E96" s="166"/>
      <c r="G96" s="168"/>
      <c r="I96" s="169"/>
      <c r="T96" s="97"/>
    </row>
    <row r="97" spans="5:20" s="96" customFormat="1" ht="12" customHeight="1">
      <c r="E97" s="166"/>
      <c r="G97" s="168"/>
      <c r="I97" s="169"/>
      <c r="T97" s="97"/>
    </row>
    <row r="98" spans="5:20" s="96" customFormat="1" ht="12" customHeight="1">
      <c r="E98" s="166"/>
      <c r="G98" s="168"/>
      <c r="I98" s="169"/>
      <c r="T98" s="97"/>
    </row>
    <row r="99" spans="5:20" s="96" customFormat="1" ht="12" customHeight="1">
      <c r="E99" s="166"/>
      <c r="G99" s="168"/>
      <c r="I99" s="169"/>
      <c r="T99" s="97"/>
    </row>
    <row r="100" spans="5:20" s="96" customFormat="1" ht="12" customHeight="1">
      <c r="E100" s="166"/>
      <c r="G100" s="168"/>
      <c r="I100" s="169"/>
      <c r="T100" s="97"/>
    </row>
    <row r="101" spans="5:20" s="96" customFormat="1" ht="12" customHeight="1">
      <c r="E101" s="166"/>
      <c r="G101" s="168"/>
      <c r="I101" s="169"/>
      <c r="T101" s="97"/>
    </row>
    <row r="102" spans="5:20" s="96" customFormat="1" ht="12" customHeight="1">
      <c r="E102" s="166"/>
      <c r="G102" s="168"/>
      <c r="I102" s="169"/>
      <c r="T102" s="97"/>
    </row>
    <row r="103" spans="5:20" s="96" customFormat="1" ht="12" customHeight="1">
      <c r="E103" s="166"/>
      <c r="G103" s="168"/>
      <c r="I103" s="169"/>
      <c r="T103" s="97"/>
    </row>
    <row r="104" spans="5:20" s="96" customFormat="1" ht="12" customHeight="1">
      <c r="E104" s="166"/>
      <c r="G104" s="168"/>
      <c r="I104" s="169"/>
      <c r="T104" s="97"/>
    </row>
    <row r="105" spans="5:20" s="96" customFormat="1" ht="12" customHeight="1">
      <c r="E105" s="166"/>
      <c r="G105" s="168"/>
      <c r="I105" s="169"/>
      <c r="T105" s="97"/>
    </row>
    <row r="106" spans="5:20" s="96" customFormat="1" ht="12" customHeight="1">
      <c r="E106" s="166"/>
      <c r="G106" s="168"/>
      <c r="I106" s="169"/>
      <c r="T106" s="97"/>
    </row>
    <row r="107" spans="5:20" s="96" customFormat="1" ht="12" customHeight="1">
      <c r="E107" s="166"/>
      <c r="G107" s="168"/>
      <c r="I107" s="169"/>
      <c r="T107" s="97"/>
    </row>
    <row r="108" spans="5:20" s="96" customFormat="1" ht="12" customHeight="1">
      <c r="E108" s="166"/>
      <c r="G108" s="168"/>
      <c r="I108" s="169"/>
      <c r="T108" s="97"/>
    </row>
    <row r="109" spans="5:20" s="96" customFormat="1" ht="12" customHeight="1">
      <c r="E109" s="166"/>
      <c r="G109" s="168"/>
      <c r="I109" s="169"/>
      <c r="T109" s="97"/>
    </row>
    <row r="110" spans="5:20" s="96" customFormat="1" ht="12" customHeight="1">
      <c r="E110" s="166"/>
      <c r="G110" s="168"/>
      <c r="I110" s="169"/>
      <c r="T110" s="97"/>
    </row>
    <row r="111" spans="5:20" s="96" customFormat="1" ht="12" customHeight="1">
      <c r="E111" s="166"/>
      <c r="G111" s="168"/>
      <c r="I111" s="169"/>
      <c r="T111" s="97"/>
    </row>
    <row r="112" spans="5:20" s="96" customFormat="1" ht="12" customHeight="1">
      <c r="E112" s="166"/>
      <c r="G112" s="168"/>
      <c r="I112" s="169"/>
      <c r="T112" s="97"/>
    </row>
    <row r="113" spans="5:20" s="96" customFormat="1" ht="12" customHeight="1">
      <c r="E113" s="166"/>
      <c r="G113" s="168"/>
      <c r="I113" s="169"/>
      <c r="T113" s="97"/>
    </row>
    <row r="114" spans="5:20" s="96" customFormat="1" ht="12" customHeight="1">
      <c r="E114" s="166"/>
      <c r="G114" s="168"/>
      <c r="I114" s="169"/>
      <c r="T114" s="97"/>
    </row>
    <row r="115" spans="5:20" s="96" customFormat="1" ht="12" customHeight="1">
      <c r="E115" s="166"/>
      <c r="G115" s="168"/>
      <c r="I115" s="169"/>
      <c r="T115" s="97"/>
    </row>
    <row r="116" spans="5:20" s="96" customFormat="1" ht="12" customHeight="1">
      <c r="E116" s="166"/>
      <c r="G116" s="168"/>
      <c r="I116" s="169"/>
      <c r="T116" s="97"/>
    </row>
    <row r="117" spans="5:20" s="96" customFormat="1" ht="12" customHeight="1">
      <c r="E117" s="166"/>
      <c r="G117" s="168"/>
      <c r="I117" s="169"/>
      <c r="T117" s="97"/>
    </row>
    <row r="118" spans="5:20" s="96" customFormat="1" ht="12" customHeight="1">
      <c r="E118" s="166"/>
      <c r="G118" s="168"/>
      <c r="I118" s="169"/>
      <c r="T118" s="97"/>
    </row>
    <row r="119" spans="5:20" s="96" customFormat="1" ht="12" customHeight="1">
      <c r="E119" s="166"/>
      <c r="G119" s="168"/>
      <c r="I119" s="169"/>
      <c r="T119" s="97"/>
    </row>
    <row r="120" spans="5:20" s="96" customFormat="1" ht="12" customHeight="1">
      <c r="E120" s="166"/>
      <c r="G120" s="168"/>
      <c r="I120" s="169"/>
      <c r="T120" s="97"/>
    </row>
    <row r="121" spans="5:20" s="96" customFormat="1" ht="12" customHeight="1">
      <c r="E121" s="166"/>
      <c r="G121" s="168"/>
      <c r="I121" s="169"/>
      <c r="T121" s="97"/>
    </row>
    <row r="122" spans="5:20" s="96" customFormat="1" ht="12" customHeight="1">
      <c r="E122" s="166"/>
      <c r="G122" s="168"/>
      <c r="I122" s="169"/>
      <c r="T122" s="97"/>
    </row>
    <row r="123" spans="5:20" s="96" customFormat="1" ht="12" customHeight="1">
      <c r="E123" s="166"/>
      <c r="G123" s="168"/>
      <c r="I123" s="169"/>
      <c r="T123" s="97"/>
    </row>
    <row r="124" spans="5:20" s="96" customFormat="1" ht="12" customHeight="1">
      <c r="E124" s="166"/>
      <c r="G124" s="168"/>
      <c r="I124" s="169"/>
      <c r="T124" s="97"/>
    </row>
    <row r="125" spans="5:20" s="96" customFormat="1" ht="12" customHeight="1">
      <c r="E125" s="166"/>
      <c r="G125" s="168"/>
      <c r="I125" s="169"/>
      <c r="T125" s="97"/>
    </row>
    <row r="126" spans="5:20" s="96" customFormat="1" ht="12" customHeight="1">
      <c r="E126" s="166"/>
      <c r="G126" s="168"/>
      <c r="I126" s="169"/>
      <c r="T126" s="97"/>
    </row>
    <row r="127" spans="5:20" s="96" customFormat="1" ht="12" customHeight="1">
      <c r="E127" s="166"/>
      <c r="G127" s="168"/>
      <c r="I127" s="169"/>
      <c r="T127" s="97"/>
    </row>
    <row r="128" spans="5:20" s="96" customFormat="1" ht="12" customHeight="1">
      <c r="E128" s="166"/>
      <c r="G128" s="168"/>
      <c r="I128" s="169"/>
      <c r="T128" s="97"/>
    </row>
    <row r="129" spans="5:20" s="96" customFormat="1" ht="12" customHeight="1">
      <c r="E129" s="166"/>
      <c r="G129" s="168"/>
      <c r="I129" s="169"/>
      <c r="T129" s="97"/>
    </row>
    <row r="130" spans="5:20" s="96" customFormat="1" ht="12" customHeight="1">
      <c r="E130" s="166"/>
      <c r="G130" s="168"/>
      <c r="I130" s="169"/>
      <c r="T130" s="97"/>
    </row>
    <row r="131" spans="5:20" s="96" customFormat="1" ht="12" customHeight="1">
      <c r="E131" s="166"/>
      <c r="G131" s="168"/>
      <c r="I131" s="169"/>
      <c r="T131" s="97"/>
    </row>
    <row r="132" spans="5:20" s="96" customFormat="1" ht="12" customHeight="1">
      <c r="E132" s="166"/>
      <c r="G132" s="168"/>
      <c r="I132" s="169"/>
      <c r="T132" s="97"/>
    </row>
    <row r="133" spans="5:20" s="96" customFormat="1" ht="12" customHeight="1">
      <c r="E133" s="166"/>
      <c r="G133" s="168"/>
      <c r="I133" s="169"/>
      <c r="T133" s="97"/>
    </row>
    <row r="134" spans="5:20" s="96" customFormat="1" ht="12" customHeight="1">
      <c r="E134" s="166"/>
      <c r="G134" s="168"/>
      <c r="I134" s="169"/>
      <c r="T134" s="97"/>
    </row>
    <row r="135" spans="5:20" s="96" customFormat="1" ht="12" customHeight="1">
      <c r="E135" s="166"/>
      <c r="G135" s="168"/>
      <c r="I135" s="169"/>
      <c r="T135" s="97"/>
    </row>
    <row r="136" spans="5:20" s="96" customFormat="1" ht="12" customHeight="1">
      <c r="E136" s="166"/>
      <c r="G136" s="168"/>
      <c r="I136" s="169"/>
      <c r="T136" s="97"/>
    </row>
    <row r="137" spans="5:20" s="96" customFormat="1" ht="12" customHeight="1">
      <c r="E137" s="166"/>
      <c r="G137" s="168"/>
      <c r="I137" s="169"/>
      <c r="T137" s="97"/>
    </row>
    <row r="138" spans="5:20" s="96" customFormat="1" ht="12" customHeight="1">
      <c r="E138" s="166"/>
      <c r="G138" s="168"/>
      <c r="I138" s="169"/>
      <c r="T138" s="97"/>
    </row>
    <row r="139" spans="5:20" s="96" customFormat="1" ht="12" customHeight="1">
      <c r="E139" s="166"/>
      <c r="G139" s="168"/>
      <c r="I139" s="169"/>
      <c r="T139" s="97"/>
    </row>
    <row r="140" spans="5:20" s="96" customFormat="1" ht="12" customHeight="1">
      <c r="E140" s="166"/>
      <c r="G140" s="168"/>
      <c r="I140" s="169"/>
      <c r="T140" s="97"/>
    </row>
    <row r="141" spans="5:20" s="96" customFormat="1" ht="12" customHeight="1">
      <c r="E141" s="166"/>
      <c r="G141" s="168"/>
      <c r="I141" s="169"/>
      <c r="T141" s="97"/>
    </row>
    <row r="142" spans="5:20" s="96" customFormat="1" ht="12" customHeight="1">
      <c r="E142" s="166"/>
      <c r="G142" s="168"/>
      <c r="I142" s="169"/>
      <c r="T142" s="97"/>
    </row>
    <row r="143" spans="5:20" s="96" customFormat="1" ht="12" customHeight="1">
      <c r="E143" s="166"/>
      <c r="G143" s="168"/>
      <c r="I143" s="169"/>
      <c r="T143" s="97"/>
    </row>
    <row r="144" spans="5:20" s="96" customFormat="1" ht="12" customHeight="1">
      <c r="E144" s="166"/>
      <c r="G144" s="168"/>
      <c r="I144" s="169"/>
      <c r="T144" s="97"/>
    </row>
    <row r="145" spans="5:20" s="96" customFormat="1" ht="12" customHeight="1">
      <c r="E145" s="166"/>
      <c r="G145" s="168"/>
      <c r="I145" s="169"/>
      <c r="T145" s="97"/>
    </row>
    <row r="146" spans="5:20" s="96" customFormat="1" ht="12" customHeight="1">
      <c r="E146" s="166"/>
      <c r="G146" s="168"/>
      <c r="I146" s="169"/>
      <c r="T146" s="97"/>
    </row>
    <row r="147" spans="5:20" s="96" customFormat="1" ht="12" customHeight="1">
      <c r="E147" s="166"/>
      <c r="G147" s="168"/>
      <c r="I147" s="169"/>
      <c r="T147" s="97"/>
    </row>
    <row r="148" spans="5:20" s="96" customFormat="1" ht="12" customHeight="1">
      <c r="E148" s="166"/>
      <c r="G148" s="168"/>
      <c r="I148" s="169"/>
      <c r="T148" s="97"/>
    </row>
    <row r="149" spans="5:20" s="96" customFormat="1" ht="12" customHeight="1">
      <c r="E149" s="166"/>
      <c r="G149" s="168"/>
      <c r="I149" s="169"/>
      <c r="T149" s="97"/>
    </row>
    <row r="150" spans="5:20" s="96" customFormat="1" ht="12" customHeight="1">
      <c r="E150" s="166"/>
      <c r="G150" s="168"/>
      <c r="I150" s="169"/>
      <c r="T150" s="97"/>
    </row>
    <row r="151" spans="5:20" s="96" customFormat="1" ht="12" customHeight="1">
      <c r="E151" s="166"/>
      <c r="G151" s="168"/>
      <c r="I151" s="169"/>
      <c r="T151" s="97"/>
    </row>
    <row r="152" spans="5:20" s="96" customFormat="1" ht="12" customHeight="1">
      <c r="E152" s="166"/>
      <c r="G152" s="168"/>
      <c r="I152" s="169"/>
      <c r="T152" s="97"/>
    </row>
    <row r="153" spans="5:20" s="96" customFormat="1" ht="12" customHeight="1">
      <c r="E153" s="166"/>
      <c r="G153" s="168"/>
      <c r="I153" s="169"/>
      <c r="T153" s="97"/>
    </row>
    <row r="154" spans="5:20" s="96" customFormat="1" ht="10.5">
      <c r="E154" s="166"/>
      <c r="G154" s="168"/>
      <c r="I154" s="169"/>
      <c r="T154" s="97"/>
    </row>
    <row r="155" spans="5:20" s="96" customFormat="1" ht="10.5">
      <c r="E155" s="166"/>
      <c r="G155" s="168"/>
      <c r="I155" s="169"/>
      <c r="T155" s="97"/>
    </row>
    <row r="156" spans="5:20" s="96" customFormat="1" ht="10.5">
      <c r="E156" s="166"/>
      <c r="G156" s="168"/>
      <c r="I156" s="169"/>
      <c r="T156" s="97"/>
    </row>
    <row r="157" spans="5:20" s="96" customFormat="1" ht="10.5">
      <c r="E157" s="166"/>
      <c r="G157" s="168"/>
      <c r="I157" s="169"/>
      <c r="T157" s="97"/>
    </row>
    <row r="158" spans="5:20" s="96" customFormat="1" ht="10.5">
      <c r="E158" s="166"/>
      <c r="G158" s="168"/>
      <c r="I158" s="169"/>
      <c r="T158" s="97"/>
    </row>
    <row r="159" spans="5:20" s="96" customFormat="1" ht="10.5">
      <c r="E159" s="166"/>
      <c r="G159" s="168"/>
      <c r="I159" s="169"/>
      <c r="T159" s="97"/>
    </row>
    <row r="160" spans="5:20" s="96" customFormat="1" ht="10.5">
      <c r="E160" s="166"/>
      <c r="G160" s="168"/>
      <c r="I160" s="169"/>
      <c r="T160" s="97"/>
    </row>
    <row r="161" spans="5:20" s="96" customFormat="1" ht="10.5">
      <c r="E161" s="166"/>
      <c r="G161" s="168"/>
      <c r="I161" s="169"/>
      <c r="T161" s="97"/>
    </row>
    <row r="162" spans="5:20" s="96" customFormat="1" ht="10.5">
      <c r="E162" s="166"/>
      <c r="G162" s="168"/>
      <c r="I162" s="169"/>
      <c r="T162" s="97"/>
    </row>
    <row r="163" spans="5:20" s="96" customFormat="1" ht="10.5">
      <c r="E163" s="166"/>
      <c r="G163" s="168"/>
      <c r="I163" s="169"/>
      <c r="T163" s="97"/>
    </row>
    <row r="164" spans="5:20" s="96" customFormat="1" ht="10.5">
      <c r="E164" s="166"/>
      <c r="G164" s="168"/>
      <c r="I164" s="169"/>
      <c r="T164" s="97"/>
    </row>
    <row r="165" spans="5:20" s="96" customFormat="1" ht="10.5">
      <c r="E165" s="166"/>
      <c r="G165" s="168"/>
      <c r="I165" s="169"/>
      <c r="T165" s="97"/>
    </row>
    <row r="166" spans="5:20" s="96" customFormat="1" ht="10.5">
      <c r="E166" s="166"/>
      <c r="G166" s="168"/>
      <c r="I166" s="169"/>
      <c r="T166" s="97"/>
    </row>
    <row r="167" spans="5:20" s="96" customFormat="1" ht="10.5">
      <c r="E167" s="166"/>
      <c r="G167" s="168"/>
      <c r="I167" s="169"/>
      <c r="T167" s="97"/>
    </row>
    <row r="168" spans="5:20" s="96" customFormat="1" ht="10.5">
      <c r="E168" s="166"/>
      <c r="G168" s="168"/>
      <c r="I168" s="169"/>
      <c r="T168" s="97"/>
    </row>
    <row r="169" spans="5:20" s="96" customFormat="1" ht="10.5">
      <c r="E169" s="166"/>
      <c r="G169" s="168"/>
      <c r="I169" s="169"/>
      <c r="T169" s="97"/>
    </row>
    <row r="170" spans="5:20" s="96" customFormat="1" ht="10.5">
      <c r="E170" s="166"/>
      <c r="G170" s="168"/>
      <c r="I170" s="169"/>
      <c r="T170" s="97"/>
    </row>
    <row r="171" spans="5:20" s="96" customFormat="1" ht="10.5">
      <c r="E171" s="166"/>
      <c r="G171" s="168"/>
      <c r="I171" s="169"/>
      <c r="T171" s="97"/>
    </row>
    <row r="172" spans="5:20" s="96" customFormat="1" ht="10.5">
      <c r="E172" s="166"/>
      <c r="G172" s="168"/>
      <c r="I172" s="169"/>
      <c r="T172" s="97"/>
    </row>
    <row r="173" spans="5:20" s="96" customFormat="1" ht="10.5">
      <c r="E173" s="166"/>
      <c r="G173" s="168"/>
      <c r="I173" s="169"/>
      <c r="T173" s="97"/>
    </row>
    <row r="174" spans="5:20" s="96" customFormat="1" ht="10.5">
      <c r="E174" s="166"/>
      <c r="G174" s="168"/>
      <c r="I174" s="169"/>
      <c r="T174" s="97"/>
    </row>
    <row r="175" spans="5:20" s="96" customFormat="1" ht="10.5">
      <c r="E175" s="166"/>
      <c r="G175" s="168"/>
      <c r="I175" s="169"/>
      <c r="T175" s="97"/>
    </row>
    <row r="176" spans="5:20" s="96" customFormat="1" ht="10.5">
      <c r="E176" s="166"/>
      <c r="G176" s="168"/>
      <c r="I176" s="169"/>
      <c r="T176" s="97"/>
    </row>
    <row r="177" spans="5:20" s="96" customFormat="1" ht="10.5">
      <c r="E177" s="166"/>
      <c r="G177" s="168"/>
      <c r="I177" s="169"/>
      <c r="T177" s="97"/>
    </row>
    <row r="178" spans="5:20" s="96" customFormat="1" ht="10.5">
      <c r="E178" s="166"/>
      <c r="G178" s="168"/>
      <c r="I178" s="169"/>
      <c r="T178" s="97"/>
    </row>
    <row r="179" spans="5:20" s="96" customFormat="1" ht="10.5">
      <c r="E179" s="166"/>
      <c r="G179" s="168"/>
      <c r="I179" s="169"/>
      <c r="T179" s="97"/>
    </row>
    <row r="180" spans="5:20" s="96" customFormat="1" ht="10.5">
      <c r="E180" s="166"/>
      <c r="G180" s="168"/>
      <c r="I180" s="169"/>
      <c r="T180" s="97"/>
    </row>
    <row r="181" spans="5:20" s="96" customFormat="1" ht="10.5">
      <c r="E181" s="166"/>
      <c r="G181" s="168"/>
      <c r="I181" s="169"/>
      <c r="T181" s="97"/>
    </row>
    <row r="182" spans="5:20" s="96" customFormat="1" ht="10.5">
      <c r="E182" s="166"/>
      <c r="G182" s="168"/>
      <c r="I182" s="169"/>
      <c r="T182" s="97"/>
    </row>
    <row r="183" spans="5:20" s="96" customFormat="1" ht="10.5">
      <c r="E183" s="166"/>
      <c r="G183" s="168"/>
      <c r="I183" s="169"/>
      <c r="T183" s="97"/>
    </row>
    <row r="184" spans="5:20" s="96" customFormat="1" ht="10.5">
      <c r="E184" s="166"/>
      <c r="G184" s="168"/>
      <c r="I184" s="169"/>
      <c r="T184" s="97"/>
    </row>
    <row r="185" spans="5:20" s="96" customFormat="1" ht="10.5">
      <c r="E185" s="166"/>
      <c r="G185" s="168"/>
      <c r="I185" s="169"/>
      <c r="T185" s="97"/>
    </row>
    <row r="186" spans="5:20" s="96" customFormat="1" ht="10.5">
      <c r="E186" s="166"/>
      <c r="G186" s="168"/>
      <c r="I186" s="169"/>
      <c r="T186" s="97"/>
    </row>
    <row r="187" spans="5:20" s="96" customFormat="1" ht="10.5">
      <c r="E187" s="166"/>
      <c r="G187" s="168"/>
      <c r="I187" s="169"/>
      <c r="T187" s="97"/>
    </row>
    <row r="188" spans="5:20" s="96" customFormat="1" ht="10.5">
      <c r="E188" s="166"/>
      <c r="G188" s="168"/>
      <c r="I188" s="169"/>
      <c r="T188" s="97"/>
    </row>
    <row r="189" spans="5:20" s="96" customFormat="1" ht="10.5">
      <c r="E189" s="166"/>
      <c r="G189" s="168"/>
      <c r="I189" s="169"/>
      <c r="T189" s="97"/>
    </row>
    <row r="190" spans="5:20" s="96" customFormat="1" ht="10.5">
      <c r="E190" s="166"/>
      <c r="G190" s="168"/>
      <c r="I190" s="169"/>
      <c r="T190" s="97"/>
    </row>
    <row r="191" spans="5:20" s="96" customFormat="1" ht="10.5">
      <c r="E191" s="166"/>
      <c r="G191" s="168"/>
      <c r="I191" s="169"/>
      <c r="T191" s="97"/>
    </row>
    <row r="192" spans="5:20" s="96" customFormat="1" ht="10.5">
      <c r="E192" s="166"/>
      <c r="G192" s="168"/>
      <c r="I192" s="169"/>
      <c r="T192" s="97"/>
    </row>
    <row r="193" spans="5:20" s="96" customFormat="1" ht="10.5">
      <c r="E193" s="166"/>
      <c r="G193" s="168"/>
      <c r="I193" s="169"/>
      <c r="T193" s="97"/>
    </row>
    <row r="194" spans="5:20" s="96" customFormat="1" ht="10.5">
      <c r="E194" s="166"/>
      <c r="G194" s="168"/>
      <c r="I194" s="169"/>
      <c r="T194" s="97"/>
    </row>
    <row r="195" spans="5:20" s="96" customFormat="1" ht="10.5">
      <c r="E195" s="166"/>
      <c r="G195" s="168"/>
      <c r="I195" s="169"/>
      <c r="T195" s="97"/>
    </row>
    <row r="196" spans="5:20" s="96" customFormat="1" ht="10.5">
      <c r="E196" s="166"/>
      <c r="G196" s="168"/>
      <c r="I196" s="169"/>
      <c r="T196" s="97"/>
    </row>
    <row r="197" spans="5:20" s="96" customFormat="1" ht="10.5">
      <c r="E197" s="166"/>
      <c r="G197" s="168"/>
      <c r="I197" s="169"/>
      <c r="T197" s="97"/>
    </row>
    <row r="198" spans="5:20" s="96" customFormat="1" ht="10.5">
      <c r="E198" s="166"/>
      <c r="G198" s="168"/>
      <c r="I198" s="169"/>
      <c r="T198" s="97"/>
    </row>
    <row r="199" spans="5:20" s="96" customFormat="1" ht="10.5">
      <c r="E199" s="166"/>
      <c r="G199" s="168"/>
      <c r="I199" s="169"/>
      <c r="T199" s="97"/>
    </row>
    <row r="200" spans="5:20" s="96" customFormat="1" ht="10.5">
      <c r="E200" s="166"/>
      <c r="G200" s="168"/>
      <c r="I200" s="169"/>
      <c r="T200" s="97"/>
    </row>
    <row r="201" spans="5:20" s="96" customFormat="1" ht="10.5">
      <c r="E201" s="166"/>
      <c r="G201" s="168"/>
      <c r="I201" s="169"/>
      <c r="T201" s="97"/>
    </row>
    <row r="202" spans="5:20" s="96" customFormat="1" ht="10.5">
      <c r="E202" s="166"/>
      <c r="G202" s="168"/>
      <c r="I202" s="169"/>
      <c r="T202" s="97"/>
    </row>
    <row r="203" spans="5:20" s="96" customFormat="1" ht="10.5">
      <c r="E203" s="166"/>
      <c r="G203" s="168"/>
      <c r="I203" s="169"/>
      <c r="T203" s="97"/>
    </row>
    <row r="204" spans="5:20" s="96" customFormat="1" ht="10.5">
      <c r="E204" s="166"/>
      <c r="G204" s="168"/>
      <c r="I204" s="169"/>
      <c r="T204" s="97"/>
    </row>
    <row r="205" spans="5:20" s="96" customFormat="1" ht="10.5">
      <c r="E205" s="166"/>
      <c r="G205" s="168"/>
      <c r="I205" s="169"/>
      <c r="T205" s="97"/>
    </row>
    <row r="206" spans="5:20" s="96" customFormat="1" ht="10.5">
      <c r="E206" s="166"/>
      <c r="G206" s="168"/>
      <c r="I206" s="169"/>
      <c r="T206" s="97"/>
    </row>
    <row r="207" spans="5:20" s="96" customFormat="1" ht="10.5">
      <c r="E207" s="166"/>
      <c r="G207" s="168"/>
      <c r="I207" s="169"/>
      <c r="T207" s="97"/>
    </row>
    <row r="208" spans="5:20" s="96" customFormat="1" ht="10.5">
      <c r="E208" s="166"/>
      <c r="G208" s="168"/>
      <c r="I208" s="169"/>
      <c r="T208" s="97"/>
    </row>
    <row r="209" spans="5:20" s="96" customFormat="1" ht="10.5">
      <c r="E209" s="166"/>
      <c r="G209" s="168"/>
      <c r="I209" s="169"/>
      <c r="T209" s="97"/>
    </row>
    <row r="210" spans="5:20" s="96" customFormat="1" ht="10.5">
      <c r="E210" s="166"/>
      <c r="G210" s="168"/>
      <c r="I210" s="169"/>
      <c r="T210" s="97"/>
    </row>
    <row r="211" spans="5:20" s="96" customFormat="1" ht="10.5">
      <c r="E211" s="166"/>
      <c r="G211" s="168"/>
      <c r="I211" s="169"/>
      <c r="T211" s="97"/>
    </row>
    <row r="212" spans="5:20" s="96" customFormat="1" ht="10.5">
      <c r="E212" s="166"/>
      <c r="G212" s="168"/>
      <c r="I212" s="169"/>
      <c r="T212" s="97"/>
    </row>
    <row r="213" spans="5:20" s="96" customFormat="1" ht="10.5">
      <c r="E213" s="166"/>
      <c r="G213" s="168"/>
      <c r="I213" s="169"/>
      <c r="T213" s="97"/>
    </row>
    <row r="214" spans="5:20" s="96" customFormat="1" ht="10.5">
      <c r="E214" s="166"/>
      <c r="G214" s="168"/>
      <c r="I214" s="169"/>
      <c r="T214" s="97"/>
    </row>
    <row r="215" spans="5:20" s="96" customFormat="1" ht="10.5">
      <c r="E215" s="166"/>
      <c r="G215" s="168"/>
      <c r="I215" s="169"/>
      <c r="T215" s="97"/>
    </row>
    <row r="216" spans="5:20" s="96" customFormat="1" ht="10.5">
      <c r="E216" s="166"/>
      <c r="G216" s="168"/>
      <c r="I216" s="169"/>
      <c r="T216" s="97"/>
    </row>
    <row r="217" spans="5:20" s="96" customFormat="1" ht="10.5">
      <c r="E217" s="166"/>
      <c r="G217" s="168"/>
      <c r="I217" s="169"/>
      <c r="T217" s="97"/>
    </row>
    <row r="218" spans="5:20" s="96" customFormat="1" ht="10.5">
      <c r="E218" s="166"/>
      <c r="G218" s="168"/>
      <c r="I218" s="169"/>
      <c r="T218" s="97"/>
    </row>
    <row r="219" spans="5:20" s="96" customFormat="1" ht="10.5">
      <c r="E219" s="166"/>
      <c r="G219" s="168"/>
      <c r="I219" s="169"/>
      <c r="T219" s="97"/>
    </row>
    <row r="220" spans="5:20" s="96" customFormat="1" ht="10.5">
      <c r="E220" s="166"/>
      <c r="G220" s="168"/>
      <c r="I220" s="169"/>
      <c r="T220" s="97"/>
    </row>
    <row r="221" spans="5:20" s="96" customFormat="1" ht="10.5">
      <c r="E221" s="166"/>
      <c r="G221" s="168"/>
      <c r="I221" s="169"/>
      <c r="T221" s="97"/>
    </row>
    <row r="222" spans="5:20" s="96" customFormat="1" ht="10.5">
      <c r="E222" s="166"/>
      <c r="G222" s="168"/>
      <c r="I222" s="169"/>
      <c r="T222" s="97"/>
    </row>
    <row r="223" spans="5:20" s="96" customFormat="1" ht="10.5">
      <c r="E223" s="166"/>
      <c r="G223" s="168"/>
      <c r="I223" s="169"/>
      <c r="T223" s="97"/>
    </row>
    <row r="224" spans="5:20" s="96" customFormat="1" ht="10.5">
      <c r="E224" s="166"/>
      <c r="G224" s="168"/>
      <c r="I224" s="169"/>
      <c r="T224" s="97"/>
    </row>
    <row r="225" spans="1:20" s="96" customFormat="1" ht="10.5">
      <c r="E225" s="166"/>
      <c r="G225" s="168"/>
      <c r="I225" s="169"/>
      <c r="T225" s="97"/>
    </row>
    <row r="226" spans="1:20" s="96" customFormat="1" ht="10.5">
      <c r="E226" s="166"/>
      <c r="G226" s="168"/>
      <c r="I226" s="169"/>
      <c r="T226" s="97"/>
    </row>
    <row r="227" spans="1:20" s="96" customFormat="1" ht="10.5">
      <c r="E227" s="166"/>
      <c r="G227" s="168"/>
      <c r="I227" s="169"/>
      <c r="T227" s="97"/>
    </row>
    <row r="228" spans="1:20" s="96" customFormat="1" ht="10.5">
      <c r="E228" s="166"/>
      <c r="G228" s="168"/>
      <c r="I228" s="169"/>
      <c r="T228" s="97"/>
    </row>
    <row r="229" spans="1:20" s="96" customFormat="1" ht="10.5">
      <c r="A229" s="170"/>
      <c r="C229" s="170"/>
      <c r="D229" s="170"/>
      <c r="E229" s="171"/>
      <c r="F229" s="170"/>
      <c r="G229" s="172"/>
      <c r="H229" s="170"/>
      <c r="I229" s="169"/>
      <c r="T229" s="97"/>
    </row>
    <row r="230" spans="1:20" s="96" customFormat="1" ht="10.5">
      <c r="A230" s="170"/>
      <c r="C230" s="170"/>
      <c r="D230" s="170"/>
      <c r="E230" s="171"/>
      <c r="F230" s="170"/>
      <c r="G230" s="172"/>
      <c r="H230" s="170"/>
      <c r="I230" s="169"/>
      <c r="T230" s="97"/>
    </row>
    <row r="231" spans="1:20" s="96" customFormat="1" ht="10.5">
      <c r="A231" s="170"/>
      <c r="C231" s="170"/>
      <c r="D231" s="170"/>
      <c r="E231" s="171"/>
      <c r="F231" s="170"/>
      <c r="G231" s="172"/>
      <c r="H231" s="170"/>
      <c r="I231" s="169"/>
      <c r="T231" s="97"/>
    </row>
    <row r="232" spans="1:20" s="96" customFormat="1" ht="10.5">
      <c r="A232" s="170"/>
      <c r="C232" s="170"/>
      <c r="D232" s="170"/>
      <c r="E232" s="171"/>
      <c r="F232" s="170"/>
      <c r="G232" s="172"/>
      <c r="H232" s="170"/>
      <c r="I232" s="169"/>
      <c r="T232" s="97"/>
    </row>
  </sheetData>
  <mergeCells count="25">
    <mergeCell ref="I29:M29"/>
    <mergeCell ref="I1:R1"/>
    <mergeCell ref="A2:D2"/>
    <mergeCell ref="I2:R2"/>
    <mergeCell ref="I3:R3"/>
    <mergeCell ref="A4:D4"/>
    <mergeCell ref="E4:E5"/>
    <mergeCell ref="F4:F5"/>
    <mergeCell ref="G4:H4"/>
    <mergeCell ref="I4:R5"/>
    <mergeCell ref="A6:C6"/>
    <mergeCell ref="B7:C7"/>
    <mergeCell ref="I16:J16"/>
    <mergeCell ref="I22:N22"/>
    <mergeCell ref="I24:J24"/>
    <mergeCell ref="I40:M40"/>
    <mergeCell ref="I46:M46"/>
    <mergeCell ref="B52:C52"/>
    <mergeCell ref="B55:C55"/>
    <mergeCell ref="I30:M30"/>
    <mergeCell ref="I32:M32"/>
    <mergeCell ref="I33:M33"/>
    <mergeCell ref="B34:C34"/>
    <mergeCell ref="I38:J38"/>
    <mergeCell ref="B39:C39"/>
  </mergeCells>
  <phoneticPr fontId="65" type="noConversion"/>
  <pageMargins left="0.12986111640930176" right="0.12986111640930176" top="0.6600000262260437" bottom="0.17000000178813934" header="0.37000000476837158" footer="0.17000000178813934"/>
  <pageSetup paperSize="9" scale="76" orientation="portrait" horizontalDpi="4294967293" verticalDpi="4294967293" r:id="rId1"/>
  <legacyDrawing r:id="rId2"/>
</worksheet>
</file>

<file path=xl/worksheets/sheet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7"/>
  <dimension ref="A1:AJ99"/>
  <sheetViews>
    <sheetView view="pageBreakPreview" zoomScaleNormal="100" zoomScaleSheetLayoutView="100" workbookViewId="0">
      <pane xSplit="4" ySplit="5" topLeftCell="E6" activePane="bottomRight" state="frozen"/>
      <selection pane="topRight"/>
      <selection pane="bottomLeft"/>
      <selection pane="bottomRight" activeCell="H27" sqref="H27:J27"/>
    </sheetView>
  </sheetViews>
  <sheetFormatPr defaultColWidth="9" defaultRowHeight="13.5"/>
  <cols>
    <col min="1" max="1" width="7.5" style="96" customWidth="1"/>
    <col min="2" max="2" width="8" style="96" customWidth="1"/>
    <col min="3" max="3" width="12" style="96" customWidth="1"/>
    <col min="4" max="4" width="10.375" style="96" hidden="1" customWidth="1"/>
    <col min="5" max="5" width="11.25" style="96" customWidth="1"/>
    <col min="6" max="6" width="11.25" style="270" customWidth="1"/>
    <col min="7" max="7" width="11.625" style="168" customWidth="1"/>
    <col min="8" max="8" width="6.5" style="168" customWidth="1"/>
    <col min="9" max="9" width="11.125" style="169" customWidth="1"/>
    <col min="10" max="10" width="3" style="96" customWidth="1"/>
    <col min="11" max="11" width="7.875" style="96" bestFit="1" customWidth="1"/>
    <col min="12" max="12" width="2.25" style="96" bestFit="1" customWidth="1"/>
    <col min="13" max="13" width="5.125" style="96" customWidth="1"/>
    <col min="14" max="14" width="2.25" style="96" bestFit="1" customWidth="1"/>
    <col min="15" max="15" width="3.75" style="96" customWidth="1"/>
    <col min="16" max="16" width="1.75" style="96" customWidth="1"/>
    <col min="17" max="17" width="9.5" style="96" bestFit="1" customWidth="1"/>
    <col min="18" max="18" width="2.625" style="96" customWidth="1"/>
    <col min="19" max="19" width="10" style="200" hidden="1" customWidth="1"/>
    <col min="20" max="22" width="10.25" style="201" hidden="1" customWidth="1"/>
    <col min="23" max="23" width="16.125" style="174" hidden="1" customWidth="1"/>
    <col min="24" max="24" width="14.875" style="174" hidden="1" customWidth="1"/>
    <col min="25" max="25" width="10" style="174" hidden="1" customWidth="1"/>
    <col min="26" max="26" width="16.875" style="174" hidden="1" customWidth="1"/>
    <col min="27" max="27" width="10" style="174" hidden="1" customWidth="1"/>
    <col min="28" max="28" width="13.125" style="174" hidden="1" customWidth="1"/>
    <col min="29" max="29" width="10" style="174" hidden="1" customWidth="1"/>
    <col min="30" max="30" width="17.25" style="174" hidden="1" customWidth="1"/>
    <col min="31" max="31" width="10" style="174" hidden="1" customWidth="1"/>
    <col min="32" max="34" width="0" style="174" hidden="1" customWidth="1"/>
    <col min="35" max="35" width="9" style="174"/>
    <col min="36" max="36" width="14.25" style="174" customWidth="1"/>
    <col min="37" max="16384" width="9" style="174"/>
  </cols>
  <sheetData>
    <row r="1" spans="1:36" s="58" customFormat="1" ht="23.25" customHeight="1">
      <c r="A1" s="55" t="s">
        <v>205</v>
      </c>
      <c r="B1" s="55"/>
      <c r="C1" s="55"/>
      <c r="D1" s="65"/>
      <c r="E1" s="65"/>
      <c r="F1" s="85"/>
      <c r="G1" s="175"/>
      <c r="H1" s="175"/>
      <c r="I1" s="933"/>
      <c r="J1" s="933"/>
      <c r="K1" s="933"/>
      <c r="L1" s="933"/>
      <c r="M1" s="933"/>
      <c r="N1" s="933"/>
      <c r="O1" s="933"/>
      <c r="P1" s="933"/>
      <c r="Q1" s="933"/>
      <c r="R1" s="933"/>
      <c r="S1" s="176"/>
      <c r="T1" s="177"/>
      <c r="U1" s="177"/>
      <c r="V1" s="177"/>
    </row>
    <row r="2" spans="1:36" s="58" customFormat="1" ht="22.5" customHeight="1">
      <c r="A2" s="954" t="s">
        <v>517</v>
      </c>
      <c r="B2" s="954"/>
      <c r="C2" s="955"/>
      <c r="D2" s="174"/>
      <c r="E2" s="65"/>
      <c r="F2" s="85"/>
      <c r="G2" s="175"/>
      <c r="H2" s="175"/>
      <c r="I2" s="933"/>
      <c r="J2" s="933"/>
      <c r="K2" s="933"/>
      <c r="L2" s="933"/>
      <c r="M2" s="933"/>
      <c r="N2" s="933"/>
      <c r="O2" s="933"/>
      <c r="P2" s="933"/>
      <c r="Q2" s="933"/>
      <c r="R2" s="933"/>
      <c r="S2" s="176"/>
      <c r="T2" s="177"/>
      <c r="U2" s="177"/>
      <c r="V2" s="177"/>
    </row>
    <row r="3" spans="1:36" s="67" customFormat="1" ht="18" customHeight="1">
      <c r="A3" s="65"/>
      <c r="B3" s="65"/>
      <c r="C3" s="65"/>
      <c r="D3" s="65"/>
      <c r="E3" s="65"/>
      <c r="F3" s="85"/>
      <c r="G3" s="175"/>
      <c r="H3" s="175"/>
      <c r="I3" s="935" t="s">
        <v>501</v>
      </c>
      <c r="J3" s="935"/>
      <c r="K3" s="935"/>
      <c r="L3" s="935"/>
      <c r="M3" s="935"/>
      <c r="N3" s="935"/>
      <c r="O3" s="935"/>
      <c r="P3" s="935"/>
      <c r="Q3" s="935"/>
      <c r="R3" s="935"/>
      <c r="S3" s="178"/>
      <c r="T3" s="179"/>
      <c r="U3" s="179"/>
      <c r="V3" s="179"/>
    </row>
    <row r="4" spans="1:36" s="182" customFormat="1" ht="22.5" customHeight="1">
      <c r="A4" s="936" t="s">
        <v>302</v>
      </c>
      <c r="B4" s="937"/>
      <c r="C4" s="937"/>
      <c r="D4" s="938"/>
      <c r="E4" s="939" t="e">
        <f>'라-1.보조금세출'!E4:E5</f>
        <v>#REF!</v>
      </c>
      <c r="F4" s="941" t="e">
        <f>'라-1.보조금세출'!F4:F5</f>
        <v>#REF!</v>
      </c>
      <c r="G4" s="956" t="s">
        <v>479</v>
      </c>
      <c r="H4" s="956"/>
      <c r="I4" s="944" t="s">
        <v>295</v>
      </c>
      <c r="J4" s="944"/>
      <c r="K4" s="944"/>
      <c r="L4" s="944"/>
      <c r="M4" s="944"/>
      <c r="N4" s="944"/>
      <c r="O4" s="944"/>
      <c r="P4" s="944"/>
      <c r="Q4" s="944"/>
      <c r="R4" s="945"/>
      <c r="S4" s="180"/>
      <c r="T4" s="181"/>
      <c r="U4" s="181"/>
      <c r="V4" s="181"/>
    </row>
    <row r="5" spans="1:36" s="182" customFormat="1" ht="22.5" customHeight="1">
      <c r="A5" s="70" t="s">
        <v>127</v>
      </c>
      <c r="B5" s="72" t="s">
        <v>110</v>
      </c>
      <c r="C5" s="72" t="s">
        <v>145</v>
      </c>
      <c r="D5" s="72" t="s">
        <v>118</v>
      </c>
      <c r="E5" s="940"/>
      <c r="F5" s="942"/>
      <c r="G5" s="183" t="s">
        <v>115</v>
      </c>
      <c r="H5" s="184" t="s">
        <v>447</v>
      </c>
      <c r="I5" s="946"/>
      <c r="J5" s="946"/>
      <c r="K5" s="946"/>
      <c r="L5" s="946"/>
      <c r="M5" s="946"/>
      <c r="N5" s="946"/>
      <c r="O5" s="946"/>
      <c r="P5" s="946"/>
      <c r="Q5" s="946"/>
      <c r="R5" s="947"/>
      <c r="S5" s="180"/>
      <c r="T5" s="181" t="s">
        <v>500</v>
      </c>
      <c r="U5" s="181"/>
      <c r="V5" s="181"/>
      <c r="AJ5" s="185" t="e">
        <f>#REF!+6300000+500000+100000+1000000-'라-2.자부담세출'!F6</f>
        <v>#REF!</v>
      </c>
    </row>
    <row r="6" spans="1:36" s="182" customFormat="1" ht="20.25" customHeight="1">
      <c r="A6" s="957" t="s">
        <v>301</v>
      </c>
      <c r="B6" s="958"/>
      <c r="C6" s="958"/>
      <c r="D6" s="186"/>
      <c r="E6" s="187">
        <f>E7+E46+E51+E63+E66</f>
        <v>70500000</v>
      </c>
      <c r="F6" s="187" t="e">
        <f>F7+F46+F51+F66+F63</f>
        <v>#REF!</v>
      </c>
      <c r="G6" s="188" t="e">
        <f>G7+G46+G51+G66+G63</f>
        <v>#REF!</v>
      </c>
      <c r="H6" s="189" t="e">
        <f>G6/E6*100</f>
        <v>#REF!</v>
      </c>
      <c r="I6" s="82" t="s">
        <v>141</v>
      </c>
      <c r="J6" s="83"/>
      <c r="K6" s="83"/>
      <c r="L6" s="83"/>
      <c r="M6" s="83"/>
      <c r="N6" s="83"/>
      <c r="O6" s="83"/>
      <c r="P6" s="83"/>
      <c r="Q6" s="83" t="e">
        <f>Q7+Q46+Q51+Q63+Q66</f>
        <v>#REF!</v>
      </c>
      <c r="R6" s="84" t="s">
        <v>121</v>
      </c>
      <c r="S6" s="190" t="e">
        <v>#REF!</v>
      </c>
      <c r="T6" s="181"/>
      <c r="U6" s="181" t="e">
        <f>SUM(U7:U12)</f>
        <v>#REF!</v>
      </c>
      <c r="V6" s="181" t="e">
        <f>SUM(V7:V12)</f>
        <v>#REF!</v>
      </c>
      <c r="W6" s="191" t="e">
        <f>SUM(W33:W68)</f>
        <v>#REF!</v>
      </c>
      <c r="Z6" s="192" t="e">
        <v>#REF!</v>
      </c>
      <c r="AB6" s="185" t="e">
        <v>#REF!</v>
      </c>
      <c r="AD6" s="185" t="e">
        <v>#REF!</v>
      </c>
    </row>
    <row r="7" spans="1:36" ht="20.25" customHeight="1">
      <c r="A7" s="193" t="s">
        <v>163</v>
      </c>
      <c r="B7" s="194" t="s">
        <v>114</v>
      </c>
      <c r="C7" s="195"/>
      <c r="D7" s="196"/>
      <c r="E7" s="197">
        <f>E8+E34+E39</f>
        <v>47485000</v>
      </c>
      <c r="F7" s="197" t="e">
        <f>F8+F34+F39</f>
        <v>#REF!</v>
      </c>
      <c r="G7" s="198" t="e">
        <f t="shared" ref="G7:G57" si="0">F7-E7</f>
        <v>#REF!</v>
      </c>
      <c r="H7" s="199" t="e">
        <f>G7/E7*100</f>
        <v>#REF!</v>
      </c>
      <c r="I7" s="93" t="s">
        <v>466</v>
      </c>
      <c r="J7" s="94"/>
      <c r="K7" s="94"/>
      <c r="L7" s="94"/>
      <c r="M7" s="94"/>
      <c r="N7" s="94"/>
      <c r="O7" s="94"/>
      <c r="P7" s="94"/>
      <c r="Q7" s="94" t="e">
        <f>Q8+Q34+Q39</f>
        <v>#REF!</v>
      </c>
      <c r="R7" s="95" t="s">
        <v>121</v>
      </c>
      <c r="T7" s="201" t="s">
        <v>497</v>
      </c>
      <c r="U7" s="201" t="e">
        <v>#REF!</v>
      </c>
      <c r="V7" s="202" t="e">
        <f>U42+U53+U60+U62+#REF!+U55</f>
        <v>#REF!</v>
      </c>
      <c r="W7" s="203" t="e">
        <f t="shared" ref="W7:W12" si="1">U7-V7</f>
        <v>#REF!</v>
      </c>
    </row>
    <row r="8" spans="1:36" ht="23.25" customHeight="1">
      <c r="A8" s="204"/>
      <c r="B8" s="196" t="s">
        <v>155</v>
      </c>
      <c r="C8" s="196" t="s">
        <v>164</v>
      </c>
      <c r="D8" s="196"/>
      <c r="E8" s="205">
        <f>SUM(E9,E10,E11,E12,E26,E27,E33)</f>
        <v>46085000</v>
      </c>
      <c r="F8" s="205" t="e">
        <f>F9+F10+F11+F12+F26+F27+F33</f>
        <v>#REF!</v>
      </c>
      <c r="G8" s="198" t="e">
        <f t="shared" si="0"/>
        <v>#REF!</v>
      </c>
      <c r="H8" s="199" t="e">
        <f t="shared" ref="H8:H57" si="2">G8/E8*100</f>
        <v>#REF!</v>
      </c>
      <c r="I8" s="93" t="s">
        <v>472</v>
      </c>
      <c r="J8" s="94"/>
      <c r="K8" s="94"/>
      <c r="L8" s="94"/>
      <c r="M8" s="94"/>
      <c r="N8" s="94"/>
      <c r="O8" s="94"/>
      <c r="P8" s="94"/>
      <c r="Q8" s="94" t="e">
        <f>Q9+Q10+Q11+Q12+Q26+Q27+Q33</f>
        <v>#REF!</v>
      </c>
      <c r="R8" s="95" t="s">
        <v>121</v>
      </c>
      <c r="T8" s="201" t="s">
        <v>460</v>
      </c>
      <c r="U8" s="201">
        <v>0</v>
      </c>
      <c r="V8" s="201" t="e">
        <f>#REF!</f>
        <v>#REF!</v>
      </c>
      <c r="W8" s="203" t="e">
        <f t="shared" si="1"/>
        <v>#REF!</v>
      </c>
      <c r="Z8" s="206" t="e">
        <f>F6-Z6</f>
        <v>#REF!</v>
      </c>
    </row>
    <row r="9" spans="1:36" ht="16.5" customHeight="1">
      <c r="A9" s="207"/>
      <c r="B9" s="208"/>
      <c r="C9" s="196" t="s">
        <v>113</v>
      </c>
      <c r="D9" s="196"/>
      <c r="E9" s="205">
        <v>10800000</v>
      </c>
      <c r="F9" s="205" t="e">
        <v>#REF!</v>
      </c>
      <c r="G9" s="198" t="e">
        <f t="shared" si="0"/>
        <v>#REF!</v>
      </c>
      <c r="H9" s="199" t="e">
        <f t="shared" si="2"/>
        <v>#REF!</v>
      </c>
      <c r="I9" s="104" t="s">
        <v>113</v>
      </c>
      <c r="J9" s="105"/>
      <c r="K9" s="106">
        <v>1830000</v>
      </c>
      <c r="L9" s="107" t="s">
        <v>123</v>
      </c>
      <c r="M9" s="108">
        <v>12</v>
      </c>
      <c r="N9" s="107" t="s">
        <v>123</v>
      </c>
      <c r="O9" s="109">
        <v>1</v>
      </c>
      <c r="P9" s="110" t="s">
        <v>153</v>
      </c>
      <c r="Q9" s="106">
        <f>K9*M9*O9</f>
        <v>21960000</v>
      </c>
      <c r="R9" s="111" t="s">
        <v>121</v>
      </c>
      <c r="T9" s="201" t="s">
        <v>476</v>
      </c>
      <c r="U9" s="201">
        <v>43648948</v>
      </c>
      <c r="V9" s="209" t="e">
        <f>F9+F10+F11+F12+F26+F27+T33+T42+T41+T43+T45+T48+T49+T50+T36+T38+T44+T60+T61+T62+T55+T66</f>
        <v>#REF!</v>
      </c>
      <c r="W9" s="203" t="e">
        <f t="shared" si="1"/>
        <v>#REF!</v>
      </c>
    </row>
    <row r="10" spans="1:36" ht="16.5" customHeight="1">
      <c r="A10" s="207"/>
      <c r="B10" s="210"/>
      <c r="C10" s="196" t="s">
        <v>107</v>
      </c>
      <c r="D10" s="196"/>
      <c r="E10" s="205">
        <v>0</v>
      </c>
      <c r="F10" s="205">
        <v>0</v>
      </c>
      <c r="G10" s="198">
        <f t="shared" si="0"/>
        <v>0</v>
      </c>
      <c r="H10" s="199" t="e">
        <f t="shared" si="2"/>
        <v>#DIV/0!</v>
      </c>
      <c r="I10" s="104" t="s">
        <v>107</v>
      </c>
      <c r="J10" s="105"/>
      <c r="K10" s="105"/>
      <c r="L10" s="105"/>
      <c r="M10" s="105"/>
      <c r="N10" s="105"/>
      <c r="O10" s="105"/>
      <c r="P10" s="105"/>
      <c r="Q10" s="105"/>
      <c r="R10" s="111" t="s">
        <v>121</v>
      </c>
      <c r="T10" s="201" t="s">
        <v>486</v>
      </c>
      <c r="U10" s="201">
        <v>19000000</v>
      </c>
      <c r="V10" s="211">
        <f>V53</f>
        <v>19000000</v>
      </c>
      <c r="W10" s="203">
        <f t="shared" si="1"/>
        <v>0</v>
      </c>
    </row>
    <row r="11" spans="1:36" ht="16.5" customHeight="1">
      <c r="A11" s="207"/>
      <c r="B11" s="210"/>
      <c r="C11" s="196" t="s">
        <v>411</v>
      </c>
      <c r="D11" s="196"/>
      <c r="E11" s="205">
        <v>33000000</v>
      </c>
      <c r="F11" s="205">
        <f>Q11</f>
        <v>0</v>
      </c>
      <c r="G11" s="198">
        <f t="shared" si="0"/>
        <v>-33000000</v>
      </c>
      <c r="H11" s="199">
        <f t="shared" si="2"/>
        <v>-100</v>
      </c>
      <c r="I11" s="104" t="s">
        <v>411</v>
      </c>
      <c r="J11" s="105"/>
      <c r="K11" s="106">
        <v>0</v>
      </c>
      <c r="L11" s="107" t="s">
        <v>123</v>
      </c>
      <c r="M11" s="108">
        <v>12</v>
      </c>
      <c r="N11" s="107" t="s">
        <v>123</v>
      </c>
      <c r="O11" s="109">
        <v>0</v>
      </c>
      <c r="P11" s="110" t="s">
        <v>153</v>
      </c>
      <c r="Q11" s="106">
        <f>K11*M11*O11</f>
        <v>0</v>
      </c>
      <c r="R11" s="111" t="s">
        <v>121</v>
      </c>
      <c r="T11" s="201" t="s">
        <v>176</v>
      </c>
      <c r="U11" s="201">
        <v>9283923</v>
      </c>
      <c r="V11" s="212" t="e">
        <f>V66+V63+V55+V41+V42+V43+V44+V45+V50+V35+V38+#REF!</f>
        <v>#REF!</v>
      </c>
      <c r="W11" s="203" t="e">
        <f t="shared" si="1"/>
        <v>#REF!</v>
      </c>
    </row>
    <row r="12" spans="1:36" ht="16.5" customHeight="1">
      <c r="A12" s="207"/>
      <c r="B12" s="210"/>
      <c r="C12" s="196" t="s">
        <v>130</v>
      </c>
      <c r="D12" s="196"/>
      <c r="E12" s="205">
        <f>E21</f>
        <v>0</v>
      </c>
      <c r="F12" s="205" t="e">
        <v>#REF!</v>
      </c>
      <c r="G12" s="198" t="e">
        <f t="shared" si="0"/>
        <v>#REF!</v>
      </c>
      <c r="H12" s="199" t="e">
        <f t="shared" si="2"/>
        <v>#REF!</v>
      </c>
      <c r="I12" s="104" t="s">
        <v>130</v>
      </c>
      <c r="J12" s="105"/>
      <c r="K12" s="106">
        <v>1830000</v>
      </c>
      <c r="L12" s="107" t="s">
        <v>123</v>
      </c>
      <c r="M12" s="213">
        <v>0.6</v>
      </c>
      <c r="N12" s="107" t="s">
        <v>123</v>
      </c>
      <c r="O12" s="122">
        <v>2</v>
      </c>
      <c r="P12" s="110" t="s">
        <v>153</v>
      </c>
      <c r="Q12" s="106">
        <f>K12*M12*O12</f>
        <v>2196000</v>
      </c>
      <c r="R12" s="111" t="s">
        <v>121</v>
      </c>
      <c r="T12" s="201" t="s">
        <v>454</v>
      </c>
      <c r="U12" s="201">
        <v>5175729</v>
      </c>
      <c r="V12" s="214">
        <f>V59+V60+V61+V62</f>
        <v>5175729</v>
      </c>
      <c r="W12" s="203">
        <f t="shared" si="1"/>
        <v>0</v>
      </c>
    </row>
    <row r="13" spans="1:36" ht="16.5" hidden="1" customHeight="1">
      <c r="A13" s="207"/>
      <c r="B13" s="210"/>
      <c r="C13" s="208"/>
      <c r="D13" s="215" t="s">
        <v>505</v>
      </c>
      <c r="E13" s="205">
        <v>0</v>
      </c>
      <c r="F13" s="205">
        <v>0</v>
      </c>
      <c r="G13" s="198">
        <f t="shared" si="0"/>
        <v>0</v>
      </c>
      <c r="H13" s="199" t="e">
        <f t="shared" si="2"/>
        <v>#DIV/0!</v>
      </c>
      <c r="I13" s="104"/>
      <c r="J13" s="105"/>
      <c r="K13" s="105"/>
      <c r="L13" s="105"/>
      <c r="M13" s="105"/>
      <c r="N13" s="105"/>
      <c r="O13" s="105"/>
      <c r="P13" s="105"/>
      <c r="Q13" s="105"/>
      <c r="R13" s="111" t="s">
        <v>121</v>
      </c>
    </row>
    <row r="14" spans="1:36" ht="16.5" hidden="1" customHeight="1">
      <c r="A14" s="207"/>
      <c r="B14" s="210"/>
      <c r="C14" s="210"/>
      <c r="D14" s="196" t="s">
        <v>508</v>
      </c>
      <c r="E14" s="205">
        <v>0</v>
      </c>
      <c r="F14" s="205">
        <v>0</v>
      </c>
      <c r="G14" s="198">
        <f t="shared" si="0"/>
        <v>0</v>
      </c>
      <c r="H14" s="199" t="e">
        <f t="shared" si="2"/>
        <v>#DIV/0!</v>
      </c>
      <c r="I14" s="104"/>
      <c r="J14" s="105"/>
      <c r="K14" s="105"/>
      <c r="L14" s="105"/>
      <c r="M14" s="105"/>
      <c r="N14" s="105"/>
      <c r="O14" s="105"/>
      <c r="P14" s="105"/>
      <c r="Q14" s="105"/>
      <c r="R14" s="111" t="s">
        <v>121</v>
      </c>
    </row>
    <row r="15" spans="1:36" ht="16.5" hidden="1" customHeight="1">
      <c r="A15" s="207"/>
      <c r="B15" s="210"/>
      <c r="C15" s="210"/>
      <c r="D15" s="196" t="s">
        <v>422</v>
      </c>
      <c r="E15" s="205">
        <v>0</v>
      </c>
      <c r="F15" s="205">
        <v>0</v>
      </c>
      <c r="G15" s="198">
        <f t="shared" si="0"/>
        <v>0</v>
      </c>
      <c r="H15" s="199" t="e">
        <f t="shared" si="2"/>
        <v>#DIV/0!</v>
      </c>
      <c r="I15" s="104"/>
      <c r="J15" s="105"/>
      <c r="K15" s="105"/>
      <c r="L15" s="105"/>
      <c r="M15" s="105"/>
      <c r="N15" s="105"/>
      <c r="O15" s="105"/>
      <c r="P15" s="105"/>
      <c r="Q15" s="105"/>
      <c r="R15" s="111" t="s">
        <v>121</v>
      </c>
    </row>
    <row r="16" spans="1:36" ht="16.5" hidden="1" customHeight="1">
      <c r="A16" s="207"/>
      <c r="B16" s="210"/>
      <c r="C16" s="210"/>
      <c r="D16" s="216" t="s">
        <v>498</v>
      </c>
      <c r="E16" s="205">
        <v>0</v>
      </c>
      <c r="F16" s="205">
        <v>0</v>
      </c>
      <c r="G16" s="198">
        <f t="shared" si="0"/>
        <v>0</v>
      </c>
      <c r="H16" s="199" t="e">
        <f t="shared" si="2"/>
        <v>#DIV/0!</v>
      </c>
      <c r="I16" s="104"/>
      <c r="J16" s="105"/>
      <c r="K16" s="105"/>
      <c r="L16" s="105"/>
      <c r="M16" s="105"/>
      <c r="N16" s="105"/>
      <c r="O16" s="105"/>
      <c r="P16" s="105"/>
      <c r="Q16" s="105"/>
      <c r="R16" s="111" t="s">
        <v>121</v>
      </c>
    </row>
    <row r="17" spans="1:26" ht="16.5" hidden="1" customHeight="1">
      <c r="A17" s="207"/>
      <c r="B17" s="210"/>
      <c r="C17" s="210"/>
      <c r="D17" s="216" t="s">
        <v>471</v>
      </c>
      <c r="E17" s="205">
        <v>0</v>
      </c>
      <c r="F17" s="205">
        <v>0</v>
      </c>
      <c r="G17" s="198">
        <f t="shared" si="0"/>
        <v>0</v>
      </c>
      <c r="H17" s="199" t="e">
        <f t="shared" si="2"/>
        <v>#DIV/0!</v>
      </c>
      <c r="I17" s="104"/>
      <c r="J17" s="105"/>
      <c r="K17" s="105"/>
      <c r="L17" s="105"/>
      <c r="M17" s="105"/>
      <c r="N17" s="105"/>
      <c r="O17" s="105"/>
      <c r="P17" s="105"/>
      <c r="Q17" s="105"/>
      <c r="R17" s="111" t="s">
        <v>121</v>
      </c>
    </row>
    <row r="18" spans="1:26" ht="16.5" hidden="1" customHeight="1">
      <c r="A18" s="207"/>
      <c r="B18" s="210"/>
      <c r="C18" s="210"/>
      <c r="D18" s="215" t="s">
        <v>502</v>
      </c>
      <c r="E18" s="205">
        <v>0</v>
      </c>
      <c r="F18" s="205">
        <v>0</v>
      </c>
      <c r="G18" s="198">
        <f t="shared" si="0"/>
        <v>0</v>
      </c>
      <c r="H18" s="199" t="e">
        <f t="shared" si="2"/>
        <v>#DIV/0!</v>
      </c>
      <c r="I18" s="104"/>
      <c r="J18" s="105"/>
      <c r="K18" s="105"/>
      <c r="L18" s="105"/>
      <c r="M18" s="105"/>
      <c r="N18" s="105"/>
      <c r="O18" s="105"/>
      <c r="P18" s="105"/>
      <c r="Q18" s="105"/>
      <c r="R18" s="111" t="s">
        <v>121</v>
      </c>
    </row>
    <row r="19" spans="1:26" ht="16.5" hidden="1" customHeight="1">
      <c r="A19" s="207"/>
      <c r="B19" s="210"/>
      <c r="C19" s="210"/>
      <c r="D19" s="215"/>
      <c r="E19" s="205"/>
      <c r="F19" s="205"/>
      <c r="G19" s="198">
        <f t="shared" si="0"/>
        <v>0</v>
      </c>
      <c r="H19" s="199" t="e">
        <f t="shared" si="2"/>
        <v>#DIV/0!</v>
      </c>
      <c r="I19" s="104"/>
      <c r="J19" s="105"/>
      <c r="K19" s="105"/>
      <c r="L19" s="105"/>
      <c r="M19" s="105"/>
      <c r="N19" s="105"/>
      <c r="O19" s="105"/>
      <c r="P19" s="105"/>
      <c r="Q19" s="105"/>
      <c r="R19" s="111" t="s">
        <v>121</v>
      </c>
    </row>
    <row r="20" spans="1:26" ht="16.5" hidden="1" customHeight="1">
      <c r="A20" s="207"/>
      <c r="B20" s="210"/>
      <c r="C20" s="210"/>
      <c r="D20" s="196" t="s">
        <v>427</v>
      </c>
      <c r="E20" s="205">
        <v>0</v>
      </c>
      <c r="F20" s="205">
        <v>0</v>
      </c>
      <c r="G20" s="198">
        <f t="shared" si="0"/>
        <v>0</v>
      </c>
      <c r="H20" s="199" t="e">
        <f t="shared" si="2"/>
        <v>#DIV/0!</v>
      </c>
      <c r="I20" s="104"/>
      <c r="J20" s="105"/>
      <c r="K20" s="105"/>
      <c r="L20" s="105"/>
      <c r="M20" s="105"/>
      <c r="N20" s="105"/>
      <c r="O20" s="105"/>
      <c r="P20" s="105"/>
      <c r="Q20" s="105"/>
      <c r="R20" s="111" t="s">
        <v>121</v>
      </c>
    </row>
    <row r="21" spans="1:26" ht="28.5" hidden="1" customHeight="1">
      <c r="A21" s="207"/>
      <c r="B21" s="210"/>
      <c r="C21" s="210"/>
      <c r="D21" s="196" t="s">
        <v>506</v>
      </c>
      <c r="E21" s="205">
        <v>0</v>
      </c>
      <c r="F21" s="205">
        <v>0</v>
      </c>
      <c r="G21" s="198">
        <f>F21-E21</f>
        <v>0</v>
      </c>
      <c r="H21" s="199" t="e">
        <f t="shared" si="2"/>
        <v>#DIV/0!</v>
      </c>
      <c r="I21" s="217" t="s">
        <v>195</v>
      </c>
      <c r="J21" s="144"/>
      <c r="K21" s="144"/>
      <c r="L21" s="144"/>
      <c r="M21" s="144"/>
      <c r="N21" s="144"/>
      <c r="O21" s="144"/>
      <c r="P21" s="144"/>
      <c r="Q21" s="144"/>
      <c r="R21" s="111" t="s">
        <v>121</v>
      </c>
      <c r="Z21" s="206"/>
    </row>
    <row r="22" spans="1:26" ht="16.5" hidden="1" customHeight="1">
      <c r="A22" s="207"/>
      <c r="B22" s="210"/>
      <c r="C22" s="210"/>
      <c r="D22" s="216"/>
      <c r="E22" s="205">
        <v>0</v>
      </c>
      <c r="F22" s="205">
        <v>0</v>
      </c>
      <c r="G22" s="198">
        <f t="shared" si="0"/>
        <v>0</v>
      </c>
      <c r="H22" s="199" t="e">
        <f t="shared" si="2"/>
        <v>#DIV/0!</v>
      </c>
      <c r="I22" s="104"/>
      <c r="J22" s="105"/>
      <c r="K22" s="105"/>
      <c r="L22" s="105"/>
      <c r="M22" s="105"/>
      <c r="N22" s="105"/>
      <c r="O22" s="105"/>
      <c r="P22" s="105"/>
      <c r="Q22" s="105"/>
      <c r="R22" s="111" t="s">
        <v>121</v>
      </c>
    </row>
    <row r="23" spans="1:26" ht="16.5" hidden="1" customHeight="1">
      <c r="A23" s="207"/>
      <c r="B23" s="210"/>
      <c r="C23" s="210"/>
      <c r="D23" s="216"/>
      <c r="E23" s="205">
        <v>0</v>
      </c>
      <c r="F23" s="205">
        <v>0</v>
      </c>
      <c r="G23" s="198">
        <f t="shared" si="0"/>
        <v>0</v>
      </c>
      <c r="H23" s="199" t="e">
        <f t="shared" si="2"/>
        <v>#DIV/0!</v>
      </c>
      <c r="I23" s="104"/>
      <c r="J23" s="105"/>
      <c r="K23" s="105"/>
      <c r="L23" s="105"/>
      <c r="M23" s="105"/>
      <c r="N23" s="105"/>
      <c r="O23" s="105"/>
      <c r="P23" s="105"/>
      <c r="Q23" s="105"/>
      <c r="R23" s="111" t="s">
        <v>121</v>
      </c>
    </row>
    <row r="24" spans="1:26" ht="16.5" hidden="1" customHeight="1">
      <c r="A24" s="207"/>
      <c r="B24" s="210"/>
      <c r="C24" s="210"/>
      <c r="D24" s="216"/>
      <c r="E24" s="205">
        <v>0</v>
      </c>
      <c r="F24" s="205">
        <v>0</v>
      </c>
      <c r="G24" s="198">
        <f t="shared" si="0"/>
        <v>0</v>
      </c>
      <c r="H24" s="199" t="e">
        <f t="shared" si="2"/>
        <v>#DIV/0!</v>
      </c>
      <c r="I24" s="104"/>
      <c r="J24" s="105"/>
      <c r="K24" s="105"/>
      <c r="L24" s="105"/>
      <c r="M24" s="105"/>
      <c r="N24" s="105"/>
      <c r="O24" s="105"/>
      <c r="P24" s="105"/>
      <c r="Q24" s="105"/>
      <c r="R24" s="111" t="s">
        <v>121</v>
      </c>
    </row>
    <row r="25" spans="1:26" ht="16.5" hidden="1" customHeight="1">
      <c r="A25" s="207"/>
      <c r="B25" s="210"/>
      <c r="C25" s="218"/>
      <c r="D25" s="216"/>
      <c r="E25" s="205">
        <v>0</v>
      </c>
      <c r="F25" s="205">
        <v>0</v>
      </c>
      <c r="G25" s="198">
        <f t="shared" si="0"/>
        <v>0</v>
      </c>
      <c r="H25" s="199" t="e">
        <f t="shared" si="2"/>
        <v>#DIV/0!</v>
      </c>
      <c r="I25" s="104"/>
      <c r="J25" s="105"/>
      <c r="K25" s="105"/>
      <c r="L25" s="105"/>
      <c r="M25" s="105"/>
      <c r="N25" s="105"/>
      <c r="O25" s="105"/>
      <c r="P25" s="105"/>
      <c r="Q25" s="105"/>
      <c r="R25" s="111" t="s">
        <v>121</v>
      </c>
    </row>
    <row r="26" spans="1:26" ht="25.5" customHeight="1">
      <c r="A26" s="207"/>
      <c r="B26" s="210"/>
      <c r="C26" s="219" t="s">
        <v>283</v>
      </c>
      <c r="D26" s="220"/>
      <c r="E26" s="205">
        <v>900000</v>
      </c>
      <c r="F26" s="205" t="e">
        <v>#REF!</v>
      </c>
      <c r="G26" s="198" t="e">
        <f t="shared" si="0"/>
        <v>#REF!</v>
      </c>
      <c r="H26" s="199" t="e">
        <f t="shared" si="2"/>
        <v>#REF!</v>
      </c>
      <c r="I26" s="104" t="s">
        <v>213</v>
      </c>
      <c r="J26" s="105"/>
      <c r="K26" s="106">
        <v>24156000</v>
      </c>
      <c r="L26" s="107" t="s">
        <v>123</v>
      </c>
      <c r="M26" s="122">
        <v>0.5</v>
      </c>
      <c r="N26" s="107"/>
      <c r="O26" s="122"/>
      <c r="P26" s="110" t="s">
        <v>153</v>
      </c>
      <c r="Q26" s="106" t="e">
        <v>#REF!</v>
      </c>
      <c r="R26" s="111" t="s">
        <v>121</v>
      </c>
    </row>
    <row r="27" spans="1:26" ht="25.5" customHeight="1">
      <c r="A27" s="207"/>
      <c r="B27" s="210"/>
      <c r="C27" s="221" t="s">
        <v>287</v>
      </c>
      <c r="D27" s="221" t="s">
        <v>164</v>
      </c>
      <c r="E27" s="205">
        <v>1085000</v>
      </c>
      <c r="F27" s="205" t="e">
        <f>Q27</f>
        <v>#REF!</v>
      </c>
      <c r="G27" s="198" t="e">
        <f t="shared" si="0"/>
        <v>#REF!</v>
      </c>
      <c r="H27" s="199" t="e">
        <f t="shared" si="2"/>
        <v>#REF!</v>
      </c>
      <c r="I27" s="929" t="s">
        <v>199</v>
      </c>
      <c r="J27" s="930"/>
      <c r="K27" s="105"/>
      <c r="L27" s="105"/>
      <c r="M27" s="105"/>
      <c r="N27" s="105"/>
      <c r="O27" s="105"/>
      <c r="P27" s="105"/>
      <c r="Q27" s="105" t="e">
        <f>SUM(Q28:Q32)</f>
        <v>#REF!</v>
      </c>
      <c r="R27" s="111" t="s">
        <v>121</v>
      </c>
    </row>
    <row r="28" spans="1:26" ht="15" customHeight="1">
      <c r="A28" s="207"/>
      <c r="B28" s="210"/>
      <c r="C28" s="222"/>
      <c r="D28" s="223" t="s">
        <v>480</v>
      </c>
      <c r="E28" s="224"/>
      <c r="F28" s="224"/>
      <c r="G28" s="198"/>
      <c r="H28" s="199" t="e">
        <f t="shared" si="2"/>
        <v>#DIV/0!</v>
      </c>
      <c r="I28" s="130" t="s">
        <v>483</v>
      </c>
      <c r="J28" s="131"/>
      <c r="K28" s="131">
        <v>24156000</v>
      </c>
      <c r="L28" s="132" t="s">
        <v>123</v>
      </c>
      <c r="M28" s="133">
        <v>6.6699999999999995E-2</v>
      </c>
      <c r="N28" s="132" t="s">
        <v>123</v>
      </c>
      <c r="O28" s="134">
        <v>0.5</v>
      </c>
      <c r="P28" s="135" t="s">
        <v>153</v>
      </c>
      <c r="Q28" s="131" t="e">
        <v>#REF!</v>
      </c>
      <c r="R28" s="136" t="s">
        <v>121</v>
      </c>
      <c r="S28" s="97">
        <f>ROUNDUP(F21*3.23%,-1)</f>
        <v>0</v>
      </c>
      <c r="T28" s="97">
        <f>ROUNDUP(S28*8.51%,-1)</f>
        <v>0</v>
      </c>
      <c r="U28" s="201">
        <f>SUM(S28:T28)</f>
        <v>0</v>
      </c>
      <c r="V28" s="201">
        <f>U28-F28</f>
        <v>0</v>
      </c>
    </row>
    <row r="29" spans="1:26" ht="15" customHeight="1">
      <c r="A29" s="207"/>
      <c r="B29" s="210"/>
      <c r="C29" s="225"/>
      <c r="D29" s="223" t="s">
        <v>477</v>
      </c>
      <c r="E29" s="224"/>
      <c r="F29" s="224"/>
      <c r="G29" s="198"/>
      <c r="H29" s="199" t="e">
        <f t="shared" si="2"/>
        <v>#DIV/0!</v>
      </c>
      <c r="I29" s="130" t="s">
        <v>465</v>
      </c>
      <c r="J29" s="131"/>
      <c r="K29" s="131" t="e">
        <f>Q28</f>
        <v>#REF!</v>
      </c>
      <c r="L29" s="132" t="s">
        <v>123</v>
      </c>
      <c r="M29" s="133">
        <v>0.10249999999999999</v>
      </c>
      <c r="N29" s="132"/>
      <c r="O29" s="134"/>
      <c r="P29" s="135" t="s">
        <v>153</v>
      </c>
      <c r="Q29" s="131" t="e">
        <v>#REF!</v>
      </c>
      <c r="R29" s="136" t="s">
        <v>121</v>
      </c>
      <c r="S29" s="97"/>
      <c r="T29" s="97"/>
    </row>
    <row r="30" spans="1:26" ht="15" customHeight="1">
      <c r="A30" s="207"/>
      <c r="B30" s="210"/>
      <c r="C30" s="225"/>
      <c r="D30" s="226" t="s">
        <v>484</v>
      </c>
      <c r="E30" s="205"/>
      <c r="F30" s="205"/>
      <c r="G30" s="198"/>
      <c r="H30" s="199" t="e">
        <f t="shared" si="2"/>
        <v>#DIV/0!</v>
      </c>
      <c r="I30" s="137" t="s">
        <v>438</v>
      </c>
      <c r="J30" s="138"/>
      <c r="K30" s="138">
        <f>K28</f>
        <v>24156000</v>
      </c>
      <c r="L30" s="132" t="s">
        <v>123</v>
      </c>
      <c r="M30" s="133">
        <v>0.09</v>
      </c>
      <c r="N30" s="132" t="s">
        <v>123</v>
      </c>
      <c r="O30" s="134">
        <v>0.5</v>
      </c>
      <c r="P30" s="135" t="s">
        <v>153</v>
      </c>
      <c r="Q30" s="131" t="e">
        <v>#REF!</v>
      </c>
      <c r="R30" s="136" t="s">
        <v>121</v>
      </c>
      <c r="S30" s="97">
        <f>ROUNDUP(F22*3.12%,-1)</f>
        <v>0</v>
      </c>
    </row>
    <row r="31" spans="1:26" ht="15" customHeight="1">
      <c r="A31" s="207"/>
      <c r="B31" s="210"/>
      <c r="C31" s="225"/>
      <c r="D31" s="226" t="s">
        <v>456</v>
      </c>
      <c r="E31" s="205"/>
      <c r="F31" s="205"/>
      <c r="G31" s="198"/>
      <c r="H31" s="199" t="e">
        <f t="shared" si="2"/>
        <v>#DIV/0!</v>
      </c>
      <c r="I31" s="130" t="s">
        <v>452</v>
      </c>
      <c r="J31" s="131"/>
      <c r="K31" s="131">
        <f>K30</f>
        <v>24156000</v>
      </c>
      <c r="L31" s="132" t="s">
        <v>123</v>
      </c>
      <c r="M31" s="133">
        <v>1.0500000000000001E-2</v>
      </c>
      <c r="N31" s="132"/>
      <c r="O31" s="134"/>
      <c r="P31" s="135" t="s">
        <v>153</v>
      </c>
      <c r="Q31" s="131" t="e">
        <v>#REF!</v>
      </c>
      <c r="R31" s="136" t="s">
        <v>121</v>
      </c>
      <c r="S31" s="97" t="e">
        <v>#REF!</v>
      </c>
      <c r="T31" s="97" t="e">
        <f>ROUNDUP(S31*0.9%,-1)</f>
        <v>#REF!</v>
      </c>
    </row>
    <row r="32" spans="1:26" ht="15" customHeight="1">
      <c r="A32" s="207"/>
      <c r="B32" s="210"/>
      <c r="C32" s="227"/>
      <c r="D32" s="226" t="s">
        <v>468</v>
      </c>
      <c r="E32" s="205"/>
      <c r="F32" s="205"/>
      <c r="G32" s="198"/>
      <c r="H32" s="199" t="e">
        <f t="shared" si="2"/>
        <v>#DIV/0!</v>
      </c>
      <c r="I32" s="130" t="s">
        <v>467</v>
      </c>
      <c r="J32" s="131"/>
      <c r="K32" s="131">
        <f>K31</f>
        <v>24156000</v>
      </c>
      <c r="L32" s="132" t="s">
        <v>123</v>
      </c>
      <c r="M32" s="140">
        <v>7.9299999999999995E-3</v>
      </c>
      <c r="N32" s="132"/>
      <c r="O32" s="134"/>
      <c r="P32" s="135" t="s">
        <v>153</v>
      </c>
      <c r="Q32" s="131" t="e">
        <v>#REF!</v>
      </c>
      <c r="R32" s="136" t="s">
        <v>121</v>
      </c>
      <c r="S32" s="97" t="e">
        <v>#REF!</v>
      </c>
      <c r="T32" s="97" t="e">
        <f>ROUNDUP(S32*0.8%,-1)</f>
        <v>#REF!</v>
      </c>
    </row>
    <row r="33" spans="1:30" ht="22.5" customHeight="1">
      <c r="A33" s="207"/>
      <c r="B33" s="218"/>
      <c r="C33" s="196" t="s">
        <v>446</v>
      </c>
      <c r="D33" s="196"/>
      <c r="E33" s="205">
        <v>300000</v>
      </c>
      <c r="F33" s="205">
        <v>600000</v>
      </c>
      <c r="G33" s="198">
        <f>Q33</f>
        <v>600000</v>
      </c>
      <c r="H33" s="199">
        <f t="shared" si="2"/>
        <v>200</v>
      </c>
      <c r="I33" s="929" t="s">
        <v>513</v>
      </c>
      <c r="J33" s="930"/>
      <c r="K33" s="930"/>
      <c r="L33" s="930"/>
      <c r="M33" s="930"/>
      <c r="N33" s="930"/>
      <c r="O33" s="105"/>
      <c r="P33" s="105"/>
      <c r="Q33" s="105">
        <v>600000</v>
      </c>
      <c r="R33" s="111" t="s">
        <v>121</v>
      </c>
      <c r="S33" s="200" t="s">
        <v>120</v>
      </c>
      <c r="T33" s="228">
        <f>F33</f>
        <v>600000</v>
      </c>
      <c r="U33" s="202"/>
      <c r="W33" s="203">
        <f>T33+U33+V33</f>
        <v>600000</v>
      </c>
      <c r="AD33" s="206"/>
    </row>
    <row r="34" spans="1:30" ht="24.75" customHeight="1">
      <c r="A34" s="207"/>
      <c r="B34" s="229" t="s">
        <v>469</v>
      </c>
      <c r="C34" s="196" t="s">
        <v>164</v>
      </c>
      <c r="D34" s="196"/>
      <c r="E34" s="197">
        <f>E35+E36+E38</f>
        <v>300000</v>
      </c>
      <c r="F34" s="197">
        <f>SUM(F35:F38)</f>
        <v>3600000</v>
      </c>
      <c r="G34" s="198">
        <f t="shared" si="0"/>
        <v>3300000</v>
      </c>
      <c r="H34" s="199">
        <f t="shared" si="2"/>
        <v>1100</v>
      </c>
      <c r="I34" s="93" t="s">
        <v>203</v>
      </c>
      <c r="J34" s="94"/>
      <c r="K34" s="94"/>
      <c r="L34" s="94"/>
      <c r="M34" s="94"/>
      <c r="N34" s="94"/>
      <c r="O34" s="94"/>
      <c r="P34" s="94"/>
      <c r="Q34" s="94">
        <f>SUM(Q35:Q38)</f>
        <v>3600000</v>
      </c>
      <c r="R34" s="95" t="s">
        <v>121</v>
      </c>
      <c r="T34" s="228"/>
      <c r="U34" s="202"/>
      <c r="W34" s="203">
        <f t="shared" ref="W34:W68" si="3">T34+U34+V34</f>
        <v>0</v>
      </c>
    </row>
    <row r="35" spans="1:30" ht="22.5" customHeight="1">
      <c r="A35" s="207"/>
      <c r="B35" s="208"/>
      <c r="C35" s="196" t="s">
        <v>461</v>
      </c>
      <c r="D35" s="196"/>
      <c r="E35" s="205">
        <v>100000</v>
      </c>
      <c r="F35" s="205">
        <f>Q35</f>
        <v>1200000</v>
      </c>
      <c r="G35" s="198">
        <f t="shared" si="0"/>
        <v>1100000</v>
      </c>
      <c r="H35" s="199">
        <f t="shared" si="2"/>
        <v>1100</v>
      </c>
      <c r="I35" s="929" t="s">
        <v>207</v>
      </c>
      <c r="J35" s="930"/>
      <c r="K35" s="105">
        <v>100000</v>
      </c>
      <c r="L35" s="107" t="s">
        <v>123</v>
      </c>
      <c r="M35" s="108">
        <v>12</v>
      </c>
      <c r="N35" s="107"/>
      <c r="O35" s="105"/>
      <c r="P35" s="110" t="s">
        <v>153</v>
      </c>
      <c r="Q35" s="105">
        <f>K35*M35</f>
        <v>1200000</v>
      </c>
      <c r="R35" s="111" t="s">
        <v>121</v>
      </c>
      <c r="S35" s="200" t="s">
        <v>142</v>
      </c>
      <c r="T35" s="228"/>
      <c r="U35" s="202"/>
      <c r="V35" s="212">
        <v>300000</v>
      </c>
      <c r="W35" s="203">
        <f t="shared" si="3"/>
        <v>300000</v>
      </c>
    </row>
    <row r="36" spans="1:30" ht="22.5" customHeight="1">
      <c r="A36" s="207"/>
      <c r="B36" s="210"/>
      <c r="C36" s="196" t="s">
        <v>443</v>
      </c>
      <c r="D36" s="196"/>
      <c r="E36" s="205">
        <v>100000</v>
      </c>
      <c r="F36" s="205">
        <f>Q36</f>
        <v>1200000</v>
      </c>
      <c r="G36" s="198">
        <f t="shared" si="0"/>
        <v>1100000</v>
      </c>
      <c r="H36" s="199">
        <f t="shared" si="2"/>
        <v>1100</v>
      </c>
      <c r="I36" s="104" t="s">
        <v>443</v>
      </c>
      <c r="J36" s="105"/>
      <c r="K36" s="105">
        <v>100000</v>
      </c>
      <c r="L36" s="107" t="s">
        <v>123</v>
      </c>
      <c r="M36" s="108">
        <v>12</v>
      </c>
      <c r="N36" s="107"/>
      <c r="O36" s="105"/>
      <c r="P36" s="110" t="s">
        <v>153</v>
      </c>
      <c r="Q36" s="105">
        <f>K36*M36</f>
        <v>1200000</v>
      </c>
      <c r="R36" s="111" t="s">
        <v>121</v>
      </c>
      <c r="T36" s="201">
        <f>F36</f>
        <v>1200000</v>
      </c>
      <c r="W36" s="203">
        <f t="shared" si="3"/>
        <v>1200000</v>
      </c>
    </row>
    <row r="37" spans="1:30" ht="22.5" hidden="1" customHeight="1">
      <c r="A37" s="207"/>
      <c r="B37" s="210"/>
      <c r="C37" s="196" t="s">
        <v>166</v>
      </c>
      <c r="D37" s="196"/>
      <c r="E37" s="205">
        <v>0</v>
      </c>
      <c r="F37" s="205">
        <v>0</v>
      </c>
      <c r="G37" s="198">
        <f t="shared" si="0"/>
        <v>0</v>
      </c>
      <c r="H37" s="199" t="e">
        <f t="shared" si="2"/>
        <v>#DIV/0!</v>
      </c>
      <c r="I37" s="104"/>
      <c r="J37" s="105"/>
      <c r="K37" s="105"/>
      <c r="L37" s="105"/>
      <c r="M37" s="105"/>
      <c r="N37" s="105"/>
      <c r="O37" s="105"/>
      <c r="P37" s="105"/>
      <c r="Q37" s="105"/>
      <c r="R37" s="111" t="s">
        <v>121</v>
      </c>
      <c r="T37" s="228"/>
      <c r="U37" s="202"/>
      <c r="W37" s="203">
        <f t="shared" si="3"/>
        <v>0</v>
      </c>
    </row>
    <row r="38" spans="1:30" ht="22.5" customHeight="1">
      <c r="A38" s="207"/>
      <c r="B38" s="218"/>
      <c r="C38" s="196" t="s">
        <v>172</v>
      </c>
      <c r="D38" s="196"/>
      <c r="E38" s="205">
        <v>100000</v>
      </c>
      <c r="F38" s="205">
        <f>Q38</f>
        <v>1200000</v>
      </c>
      <c r="G38" s="198">
        <f t="shared" si="0"/>
        <v>1100000</v>
      </c>
      <c r="H38" s="199">
        <f t="shared" si="2"/>
        <v>1100</v>
      </c>
      <c r="I38" s="104" t="s">
        <v>172</v>
      </c>
      <c r="J38" s="105"/>
      <c r="K38" s="105">
        <v>100000</v>
      </c>
      <c r="L38" s="107" t="s">
        <v>123</v>
      </c>
      <c r="M38" s="108">
        <v>12</v>
      </c>
      <c r="N38" s="107"/>
      <c r="O38" s="105"/>
      <c r="P38" s="110" t="s">
        <v>153</v>
      </c>
      <c r="Q38" s="105">
        <f>K38*M38</f>
        <v>1200000</v>
      </c>
      <c r="R38" s="111" t="s">
        <v>121</v>
      </c>
      <c r="S38" s="200" t="s">
        <v>509</v>
      </c>
      <c r="T38" s="228">
        <v>1000000</v>
      </c>
      <c r="U38" s="202"/>
      <c r="V38" s="212">
        <v>1000000</v>
      </c>
      <c r="W38" s="203">
        <f t="shared" si="3"/>
        <v>2000000</v>
      </c>
    </row>
    <row r="39" spans="1:30" ht="22.5" customHeight="1">
      <c r="A39" s="207"/>
      <c r="B39" s="196" t="s">
        <v>162</v>
      </c>
      <c r="C39" s="196" t="s">
        <v>164</v>
      </c>
      <c r="D39" s="196"/>
      <c r="E39" s="205">
        <f>SUM(E40:E45)</f>
        <v>1100000</v>
      </c>
      <c r="F39" s="205">
        <f>SUM(F40:F45)</f>
        <v>20690440</v>
      </c>
      <c r="G39" s="198">
        <f t="shared" si="0"/>
        <v>19590440</v>
      </c>
      <c r="H39" s="199">
        <f t="shared" si="2"/>
        <v>1780.9490909090907</v>
      </c>
      <c r="I39" s="93" t="s">
        <v>470</v>
      </c>
      <c r="J39" s="94"/>
      <c r="K39" s="94"/>
      <c r="L39" s="94"/>
      <c r="M39" s="94"/>
      <c r="N39" s="94"/>
      <c r="O39" s="94"/>
      <c r="P39" s="94"/>
      <c r="Q39" s="94">
        <f>SUM(Q40:Q45)</f>
        <v>20690440</v>
      </c>
      <c r="R39" s="95" t="s">
        <v>121</v>
      </c>
      <c r="T39" s="228"/>
      <c r="U39" s="202"/>
      <c r="W39" s="203">
        <f t="shared" si="3"/>
        <v>0</v>
      </c>
    </row>
    <row r="40" spans="1:30" ht="22.5" customHeight="1">
      <c r="A40" s="207"/>
      <c r="B40" s="208"/>
      <c r="C40" s="196" t="s">
        <v>147</v>
      </c>
      <c r="D40" s="196"/>
      <c r="E40" s="205">
        <v>100000</v>
      </c>
      <c r="F40" s="205">
        <f t="shared" ref="F40:F45" si="4">Q40</f>
        <v>500000</v>
      </c>
      <c r="G40" s="198">
        <f t="shared" si="0"/>
        <v>400000</v>
      </c>
      <c r="H40" s="199">
        <f t="shared" si="2"/>
        <v>400</v>
      </c>
      <c r="I40" s="104" t="s">
        <v>147</v>
      </c>
      <c r="J40" s="105"/>
      <c r="K40" s="105"/>
      <c r="L40" s="105"/>
      <c r="M40" s="105"/>
      <c r="N40" s="105"/>
      <c r="O40" s="105"/>
      <c r="P40" s="105"/>
      <c r="Q40" s="105">
        <v>500000</v>
      </c>
      <c r="R40" s="111" t="s">
        <v>121</v>
      </c>
      <c r="T40" s="228"/>
      <c r="U40" s="202"/>
      <c r="W40" s="203">
        <f t="shared" si="3"/>
        <v>0</v>
      </c>
    </row>
    <row r="41" spans="1:30" ht="22.5" customHeight="1">
      <c r="A41" s="207"/>
      <c r="B41" s="210"/>
      <c r="C41" s="196" t="s">
        <v>200</v>
      </c>
      <c r="D41" s="216"/>
      <c r="E41" s="205">
        <v>300000</v>
      </c>
      <c r="F41" s="205">
        <f t="shared" si="4"/>
        <v>7590440</v>
      </c>
      <c r="G41" s="198">
        <f t="shared" si="0"/>
        <v>7290440</v>
      </c>
      <c r="H41" s="199">
        <f t="shared" si="2"/>
        <v>2430.1466666666665</v>
      </c>
      <c r="I41" s="925" t="s">
        <v>512</v>
      </c>
      <c r="J41" s="926"/>
      <c r="K41" s="926"/>
      <c r="L41" s="926"/>
      <c r="M41" s="926"/>
      <c r="N41" s="142"/>
      <c r="O41" s="142"/>
      <c r="P41" s="142"/>
      <c r="Q41" s="142">
        <v>7590440</v>
      </c>
      <c r="R41" s="111" t="s">
        <v>121</v>
      </c>
      <c r="S41" s="200" t="s">
        <v>509</v>
      </c>
      <c r="T41" s="228">
        <v>324677</v>
      </c>
      <c r="U41" s="202"/>
      <c r="V41" s="212">
        <v>223923</v>
      </c>
      <c r="W41" s="203">
        <f t="shared" si="3"/>
        <v>548600</v>
      </c>
    </row>
    <row r="42" spans="1:30" ht="22.5" customHeight="1">
      <c r="A42" s="207"/>
      <c r="B42" s="210"/>
      <c r="C42" s="196" t="s">
        <v>445</v>
      </c>
      <c r="D42" s="196"/>
      <c r="E42" s="205">
        <v>200000</v>
      </c>
      <c r="F42" s="205">
        <f t="shared" si="4"/>
        <v>8000000</v>
      </c>
      <c r="G42" s="198">
        <f t="shared" si="0"/>
        <v>7800000</v>
      </c>
      <c r="H42" s="199">
        <f t="shared" si="2"/>
        <v>3900</v>
      </c>
      <c r="I42" s="925" t="s">
        <v>298</v>
      </c>
      <c r="J42" s="926"/>
      <c r="K42" s="926"/>
      <c r="L42" s="926"/>
      <c r="M42" s="926"/>
      <c r="N42" s="142"/>
      <c r="O42" s="142"/>
      <c r="P42" s="142"/>
      <c r="Q42" s="142">
        <v>8000000</v>
      </c>
      <c r="R42" s="111" t="s">
        <v>121</v>
      </c>
      <c r="S42" s="200" t="s">
        <v>496</v>
      </c>
      <c r="T42" s="228">
        <v>4540000</v>
      </c>
      <c r="U42" s="202">
        <v>35500000</v>
      </c>
      <c r="V42" s="212">
        <v>0</v>
      </c>
      <c r="W42" s="203">
        <f t="shared" si="3"/>
        <v>40040000</v>
      </c>
    </row>
    <row r="43" spans="1:30" ht="22.5" customHeight="1">
      <c r="A43" s="207"/>
      <c r="B43" s="210"/>
      <c r="C43" s="196" t="s">
        <v>429</v>
      </c>
      <c r="D43" s="196"/>
      <c r="E43" s="205">
        <v>200000</v>
      </c>
      <c r="F43" s="205">
        <f t="shared" si="4"/>
        <v>1000000</v>
      </c>
      <c r="G43" s="198">
        <f t="shared" si="0"/>
        <v>800000</v>
      </c>
      <c r="H43" s="199">
        <f t="shared" si="2"/>
        <v>400</v>
      </c>
      <c r="I43" s="104" t="s">
        <v>429</v>
      </c>
      <c r="J43" s="105"/>
      <c r="K43" s="105"/>
      <c r="L43" s="105"/>
      <c r="M43" s="105"/>
      <c r="N43" s="105"/>
      <c r="O43" s="105"/>
      <c r="P43" s="105"/>
      <c r="Q43" s="105">
        <v>1000000</v>
      </c>
      <c r="R43" s="111" t="s">
        <v>121</v>
      </c>
      <c r="S43" s="200" t="s">
        <v>142</v>
      </c>
      <c r="T43" s="228">
        <v>500000</v>
      </c>
      <c r="U43" s="202"/>
      <c r="V43" s="212">
        <v>500000</v>
      </c>
      <c r="W43" s="203">
        <f t="shared" si="3"/>
        <v>1000000</v>
      </c>
    </row>
    <row r="44" spans="1:30" ht="22.5" customHeight="1">
      <c r="A44" s="207"/>
      <c r="B44" s="210"/>
      <c r="C44" s="196" t="s">
        <v>128</v>
      </c>
      <c r="D44" s="196"/>
      <c r="E44" s="205">
        <v>100000</v>
      </c>
      <c r="F44" s="205">
        <f t="shared" si="4"/>
        <v>600000</v>
      </c>
      <c r="G44" s="198">
        <f t="shared" si="0"/>
        <v>500000</v>
      </c>
      <c r="H44" s="199">
        <f t="shared" si="2"/>
        <v>500</v>
      </c>
      <c r="I44" s="927" t="s">
        <v>36</v>
      </c>
      <c r="J44" s="928"/>
      <c r="K44" s="928"/>
      <c r="L44" s="928"/>
      <c r="M44" s="928"/>
      <c r="N44" s="144"/>
      <c r="O44" s="144"/>
      <c r="P44" s="144"/>
      <c r="Q44" s="144">
        <v>600000</v>
      </c>
      <c r="R44" s="111" t="s">
        <v>121</v>
      </c>
      <c r="S44" s="200" t="s">
        <v>120</v>
      </c>
      <c r="T44" s="228">
        <v>1000000</v>
      </c>
      <c r="U44" s="202"/>
      <c r="V44" s="212">
        <v>0</v>
      </c>
      <c r="W44" s="203">
        <f t="shared" si="3"/>
        <v>1000000</v>
      </c>
    </row>
    <row r="45" spans="1:30" ht="22.5" customHeight="1">
      <c r="A45" s="230"/>
      <c r="B45" s="218"/>
      <c r="C45" s="196" t="s">
        <v>493</v>
      </c>
      <c r="D45" s="196"/>
      <c r="E45" s="205">
        <v>200000</v>
      </c>
      <c r="F45" s="205">
        <f t="shared" si="4"/>
        <v>3000000</v>
      </c>
      <c r="G45" s="198">
        <f t="shared" si="0"/>
        <v>2800000</v>
      </c>
      <c r="H45" s="199">
        <f t="shared" si="2"/>
        <v>1400</v>
      </c>
      <c r="I45" s="929" t="s">
        <v>514</v>
      </c>
      <c r="J45" s="930"/>
      <c r="K45" s="930"/>
      <c r="L45" s="930"/>
      <c r="M45" s="930"/>
      <c r="N45" s="105"/>
      <c r="O45" s="105"/>
      <c r="P45" s="105"/>
      <c r="Q45" s="105">
        <v>3000000</v>
      </c>
      <c r="R45" s="111" t="s">
        <v>121</v>
      </c>
      <c r="T45" s="228"/>
      <c r="U45" s="202"/>
      <c r="V45" s="212">
        <v>0</v>
      </c>
      <c r="W45" s="203">
        <f t="shared" si="3"/>
        <v>0</v>
      </c>
    </row>
    <row r="46" spans="1:30" ht="22.5" customHeight="1">
      <c r="A46" s="231" t="s">
        <v>449</v>
      </c>
      <c r="B46" s="194" t="s">
        <v>114</v>
      </c>
      <c r="C46" s="195"/>
      <c r="D46" s="196"/>
      <c r="E46" s="205">
        <f>E47</f>
        <v>200000</v>
      </c>
      <c r="F46" s="205">
        <f>F47</f>
        <v>22400000</v>
      </c>
      <c r="G46" s="198">
        <f t="shared" si="0"/>
        <v>22200000</v>
      </c>
      <c r="H46" s="199">
        <f t="shared" si="2"/>
        <v>11100</v>
      </c>
      <c r="I46" s="93" t="s">
        <v>488</v>
      </c>
      <c r="J46" s="94"/>
      <c r="K46" s="94"/>
      <c r="L46" s="94"/>
      <c r="M46" s="94"/>
      <c r="N46" s="94"/>
      <c r="O46" s="94"/>
      <c r="P46" s="94"/>
      <c r="Q46" s="94">
        <f>Q47</f>
        <v>22400000</v>
      </c>
      <c r="R46" s="95" t="s">
        <v>121</v>
      </c>
      <c r="T46" s="228"/>
      <c r="U46" s="202"/>
      <c r="W46" s="203">
        <f t="shared" si="3"/>
        <v>0</v>
      </c>
    </row>
    <row r="47" spans="1:30" ht="22.5" customHeight="1">
      <c r="A47" s="232"/>
      <c r="B47" s="196" t="s">
        <v>139</v>
      </c>
      <c r="C47" s="196" t="s">
        <v>164</v>
      </c>
      <c r="D47" s="196"/>
      <c r="E47" s="205">
        <f>SUM(E48:E50)</f>
        <v>200000</v>
      </c>
      <c r="F47" s="205">
        <f>SUM(F48:F50)</f>
        <v>22400000</v>
      </c>
      <c r="G47" s="198">
        <f t="shared" si="0"/>
        <v>22200000</v>
      </c>
      <c r="H47" s="199">
        <f t="shared" si="2"/>
        <v>11100</v>
      </c>
      <c r="I47" s="93" t="s">
        <v>481</v>
      </c>
      <c r="J47" s="94"/>
      <c r="K47" s="94"/>
      <c r="L47" s="94"/>
      <c r="M47" s="94"/>
      <c r="N47" s="94"/>
      <c r="O47" s="94"/>
      <c r="P47" s="94"/>
      <c r="Q47" s="94">
        <f>Q48+Q49+Q50</f>
        <v>22400000</v>
      </c>
      <c r="R47" s="95" t="s">
        <v>121</v>
      </c>
      <c r="T47" s="228"/>
      <c r="U47" s="202"/>
      <c r="W47" s="203">
        <f t="shared" si="3"/>
        <v>0</v>
      </c>
    </row>
    <row r="48" spans="1:30" ht="16.5" customHeight="1">
      <c r="A48" s="207"/>
      <c r="B48" s="208"/>
      <c r="C48" s="196" t="s">
        <v>139</v>
      </c>
      <c r="D48" s="196"/>
      <c r="E48" s="205">
        <v>0</v>
      </c>
      <c r="F48" s="233">
        <f>Q48</f>
        <v>0</v>
      </c>
      <c r="G48" s="198">
        <f t="shared" si="0"/>
        <v>0</v>
      </c>
      <c r="H48" s="199" t="e">
        <f t="shared" si="2"/>
        <v>#DIV/0!</v>
      </c>
      <c r="I48" s="104" t="s">
        <v>489</v>
      </c>
      <c r="J48" s="105"/>
      <c r="K48" s="105"/>
      <c r="L48" s="105"/>
      <c r="M48" s="105"/>
      <c r="N48" s="105"/>
      <c r="O48" s="105"/>
      <c r="P48" s="105"/>
      <c r="Q48" s="105">
        <v>0</v>
      </c>
      <c r="R48" s="111" t="s">
        <v>121</v>
      </c>
      <c r="S48" s="200" t="s">
        <v>120</v>
      </c>
      <c r="T48" s="228">
        <f>F48</f>
        <v>0</v>
      </c>
      <c r="U48" s="202"/>
      <c r="W48" s="203">
        <f t="shared" si="3"/>
        <v>0</v>
      </c>
    </row>
    <row r="49" spans="1:26" ht="24" customHeight="1">
      <c r="A49" s="207"/>
      <c r="B49" s="210"/>
      <c r="C49" s="196" t="s">
        <v>473</v>
      </c>
      <c r="D49" s="196"/>
      <c r="E49" s="205">
        <v>0</v>
      </c>
      <c r="F49" s="205">
        <f>Q49</f>
        <v>20000000</v>
      </c>
      <c r="G49" s="198">
        <f t="shared" si="0"/>
        <v>20000000</v>
      </c>
      <c r="H49" s="199" t="e">
        <f t="shared" si="2"/>
        <v>#DIV/0!</v>
      </c>
      <c r="I49" s="104" t="s">
        <v>473</v>
      </c>
      <c r="J49" s="105"/>
      <c r="K49" s="105">
        <v>5000000</v>
      </c>
      <c r="L49" s="107" t="s">
        <v>123</v>
      </c>
      <c r="M49" s="145">
        <v>4</v>
      </c>
      <c r="N49" s="107"/>
      <c r="O49" s="105"/>
      <c r="P49" s="110" t="s">
        <v>153</v>
      </c>
      <c r="Q49" s="105">
        <f>K49*M49</f>
        <v>20000000</v>
      </c>
      <c r="R49" s="111" t="s">
        <v>121</v>
      </c>
      <c r="S49" s="200" t="s">
        <v>120</v>
      </c>
      <c r="T49" s="228">
        <v>4000000</v>
      </c>
      <c r="U49" s="202"/>
      <c r="W49" s="203">
        <f t="shared" si="3"/>
        <v>4000000</v>
      </c>
    </row>
    <row r="50" spans="1:26" ht="24" customHeight="1">
      <c r="A50" s="234"/>
      <c r="B50" s="235"/>
      <c r="C50" s="236" t="s">
        <v>286</v>
      </c>
      <c r="D50" s="237"/>
      <c r="E50" s="238">
        <v>200000</v>
      </c>
      <c r="F50" s="238">
        <f>Q50</f>
        <v>2400000</v>
      </c>
      <c r="G50" s="239">
        <f t="shared" si="0"/>
        <v>2200000</v>
      </c>
      <c r="H50" s="199">
        <f t="shared" si="2"/>
        <v>1100</v>
      </c>
      <c r="I50" s="929" t="s">
        <v>26</v>
      </c>
      <c r="J50" s="930"/>
      <c r="K50" s="105">
        <v>200000</v>
      </c>
      <c r="L50" s="107" t="s">
        <v>123</v>
      </c>
      <c r="M50" s="108">
        <v>12</v>
      </c>
      <c r="N50" s="107"/>
      <c r="O50" s="105"/>
      <c r="P50" s="110" t="s">
        <v>153</v>
      </c>
      <c r="Q50" s="105">
        <f>K50*M50</f>
        <v>2400000</v>
      </c>
      <c r="R50" s="111" t="s">
        <v>121</v>
      </c>
      <c r="S50" s="200" t="s">
        <v>509</v>
      </c>
      <c r="T50" s="228">
        <f>F50-V50</f>
        <v>-3100000</v>
      </c>
      <c r="U50" s="202"/>
      <c r="V50" s="212">
        <v>5500000</v>
      </c>
      <c r="W50" s="203">
        <f t="shared" si="3"/>
        <v>2400000</v>
      </c>
    </row>
    <row r="51" spans="1:26" ht="20.25" customHeight="1">
      <c r="A51" s="230" t="s">
        <v>178</v>
      </c>
      <c r="B51" s="240" t="s">
        <v>114</v>
      </c>
      <c r="C51" s="241"/>
      <c r="D51" s="242"/>
      <c r="E51" s="243">
        <f>E52+E58</f>
        <v>22324000</v>
      </c>
      <c r="F51" s="243">
        <f>F52+F58</f>
        <v>64520000</v>
      </c>
      <c r="G51" s="244">
        <f t="shared" si="0"/>
        <v>42196000</v>
      </c>
      <c r="H51" s="199">
        <f t="shared" si="2"/>
        <v>189.01630532162693</v>
      </c>
      <c r="I51" s="93" t="s">
        <v>495</v>
      </c>
      <c r="J51" s="94"/>
      <c r="K51" s="94"/>
      <c r="L51" s="94"/>
      <c r="M51" s="94"/>
      <c r="N51" s="94"/>
      <c r="O51" s="94"/>
      <c r="P51" s="94"/>
      <c r="Q51" s="94">
        <f>Q52+Q58</f>
        <v>64520000</v>
      </c>
      <c r="R51" s="95" t="s">
        <v>121</v>
      </c>
      <c r="T51" s="228"/>
      <c r="U51" s="202"/>
      <c r="W51" s="203">
        <f t="shared" si="3"/>
        <v>0</v>
      </c>
    </row>
    <row r="52" spans="1:26" ht="22.5" customHeight="1">
      <c r="A52" s="204"/>
      <c r="B52" s="218" t="s">
        <v>162</v>
      </c>
      <c r="C52" s="218" t="s">
        <v>164</v>
      </c>
      <c r="D52" s="245"/>
      <c r="E52" s="246">
        <f>E53+E55+E54+E56+E57</f>
        <v>21584000</v>
      </c>
      <c r="F52" s="246">
        <f>F53+F55+F54+F56+F57</f>
        <v>45320000</v>
      </c>
      <c r="G52" s="198">
        <f t="shared" si="0"/>
        <v>23736000</v>
      </c>
      <c r="H52" s="199">
        <f t="shared" si="2"/>
        <v>109.97034840622683</v>
      </c>
      <c r="I52" s="921" t="s">
        <v>212</v>
      </c>
      <c r="J52" s="922"/>
      <c r="K52" s="922"/>
      <c r="L52" s="922"/>
      <c r="M52" s="922"/>
      <c r="N52" s="94"/>
      <c r="O52" s="94"/>
      <c r="P52" s="94"/>
      <c r="Q52" s="94">
        <f>Q53+Q55+Q54+Q56+Q57</f>
        <v>45320000</v>
      </c>
      <c r="R52" s="95" t="s">
        <v>121</v>
      </c>
      <c r="T52" s="228"/>
      <c r="U52" s="202"/>
      <c r="W52" s="203">
        <f t="shared" si="3"/>
        <v>0</v>
      </c>
    </row>
    <row r="53" spans="1:26" ht="22.5" customHeight="1">
      <c r="A53" s="247"/>
      <c r="B53" s="208"/>
      <c r="C53" s="196" t="s">
        <v>149</v>
      </c>
      <c r="D53" s="215"/>
      <c r="E53" s="205">
        <v>15184000</v>
      </c>
      <c r="F53" s="205">
        <f>Q53</f>
        <v>33280000</v>
      </c>
      <c r="G53" s="198">
        <f t="shared" si="0"/>
        <v>18096000</v>
      </c>
      <c r="H53" s="199">
        <f t="shared" si="2"/>
        <v>119.17808219178083</v>
      </c>
      <c r="I53" s="104" t="s">
        <v>149</v>
      </c>
      <c r="J53" s="105"/>
      <c r="K53" s="105">
        <v>4000</v>
      </c>
      <c r="L53" s="107" t="s">
        <v>123</v>
      </c>
      <c r="M53" s="147">
        <v>260</v>
      </c>
      <c r="N53" s="107" t="s">
        <v>123</v>
      </c>
      <c r="O53" s="109">
        <v>32</v>
      </c>
      <c r="P53" s="110" t="s">
        <v>153</v>
      </c>
      <c r="Q53" s="106">
        <f>K53*M53*O53</f>
        <v>33280000</v>
      </c>
      <c r="R53" s="111" t="s">
        <v>121</v>
      </c>
      <c r="S53" s="200" t="s">
        <v>281</v>
      </c>
      <c r="T53" s="228"/>
      <c r="U53" s="202">
        <v>42000000</v>
      </c>
      <c r="V53" s="211">
        <v>19000000</v>
      </c>
      <c r="W53" s="203">
        <f t="shared" si="3"/>
        <v>61000000</v>
      </c>
      <c r="Z53" s="248" t="e">
        <v>#REF!</v>
      </c>
    </row>
    <row r="54" spans="1:26" ht="22.5" customHeight="1">
      <c r="A54" s="247"/>
      <c r="B54" s="210"/>
      <c r="C54" s="196" t="s">
        <v>463</v>
      </c>
      <c r="D54" s="215" t="s">
        <v>164</v>
      </c>
      <c r="E54" s="205">
        <v>200000</v>
      </c>
      <c r="F54" s="205">
        <f>Q54</f>
        <v>1200000</v>
      </c>
      <c r="G54" s="198">
        <f>F54-E54</f>
        <v>1000000</v>
      </c>
      <c r="H54" s="199">
        <f t="shared" si="2"/>
        <v>500</v>
      </c>
      <c r="I54" s="104" t="s">
        <v>463</v>
      </c>
      <c r="J54" s="105"/>
      <c r="K54" s="105">
        <v>100000</v>
      </c>
      <c r="L54" s="107" t="s">
        <v>123</v>
      </c>
      <c r="M54" s="108">
        <v>12</v>
      </c>
      <c r="N54" s="107"/>
      <c r="O54" s="105"/>
      <c r="P54" s="110" t="s">
        <v>153</v>
      </c>
      <c r="Q54" s="105">
        <f>K54*M54</f>
        <v>1200000</v>
      </c>
      <c r="R54" s="111" t="s">
        <v>121</v>
      </c>
      <c r="T54" s="228"/>
      <c r="U54" s="202"/>
      <c r="W54" s="203">
        <f>T54+U54+V54</f>
        <v>0</v>
      </c>
    </row>
    <row r="55" spans="1:26" ht="22.5" customHeight="1">
      <c r="A55" s="247"/>
      <c r="B55" s="210"/>
      <c r="C55" s="196" t="s">
        <v>138</v>
      </c>
      <c r="D55" s="215"/>
      <c r="E55" s="205">
        <v>0</v>
      </c>
      <c r="F55" s="205">
        <f>Q55</f>
        <v>640000</v>
      </c>
      <c r="G55" s="198">
        <f t="shared" si="0"/>
        <v>640000</v>
      </c>
      <c r="H55" s="199" t="e">
        <f t="shared" si="2"/>
        <v>#DIV/0!</v>
      </c>
      <c r="I55" s="104" t="s">
        <v>453</v>
      </c>
      <c r="J55" s="105"/>
      <c r="K55" s="105">
        <v>20000</v>
      </c>
      <c r="L55" s="107" t="s">
        <v>123</v>
      </c>
      <c r="M55" s="109">
        <v>32</v>
      </c>
      <c r="N55" s="107"/>
      <c r="O55" s="105"/>
      <c r="P55" s="110" t="s">
        <v>153</v>
      </c>
      <c r="Q55" s="105">
        <f>K55*M55</f>
        <v>640000</v>
      </c>
      <c r="R55" s="111" t="s">
        <v>121</v>
      </c>
      <c r="S55" s="200" t="s">
        <v>142</v>
      </c>
      <c r="T55" s="228">
        <v>200000</v>
      </c>
      <c r="U55" s="202">
        <v>500000</v>
      </c>
      <c r="V55" s="212">
        <v>300000</v>
      </c>
      <c r="W55" s="203">
        <f t="shared" si="3"/>
        <v>1000000</v>
      </c>
    </row>
    <row r="56" spans="1:26" ht="22.5" customHeight="1">
      <c r="A56" s="247"/>
      <c r="B56" s="210"/>
      <c r="C56" s="196" t="s">
        <v>125</v>
      </c>
      <c r="D56" s="215"/>
      <c r="E56" s="205">
        <v>200000</v>
      </c>
      <c r="F56" s="205">
        <f>Q56</f>
        <v>600000</v>
      </c>
      <c r="G56" s="198">
        <f t="shared" si="0"/>
        <v>400000</v>
      </c>
      <c r="H56" s="199">
        <f t="shared" si="2"/>
        <v>200</v>
      </c>
      <c r="I56" s="104" t="s">
        <v>125</v>
      </c>
      <c r="J56" s="105"/>
      <c r="K56" s="105">
        <v>50000</v>
      </c>
      <c r="L56" s="107" t="s">
        <v>123</v>
      </c>
      <c r="M56" s="108">
        <v>12</v>
      </c>
      <c r="N56" s="107"/>
      <c r="O56" s="105"/>
      <c r="P56" s="110" t="s">
        <v>153</v>
      </c>
      <c r="Q56" s="105">
        <f>K56*M56</f>
        <v>600000</v>
      </c>
      <c r="R56" s="111" t="s">
        <v>121</v>
      </c>
      <c r="T56" s="228"/>
      <c r="U56" s="202"/>
      <c r="W56" s="203">
        <f t="shared" si="3"/>
        <v>0</v>
      </c>
    </row>
    <row r="57" spans="1:26" ht="22.5" customHeight="1">
      <c r="A57" s="247"/>
      <c r="B57" s="218"/>
      <c r="C57" s="196" t="s">
        <v>148</v>
      </c>
      <c r="D57" s="215"/>
      <c r="E57" s="205">
        <v>6000000</v>
      </c>
      <c r="F57" s="205">
        <f>Q57</f>
        <v>9600000</v>
      </c>
      <c r="G57" s="198">
        <f t="shared" si="0"/>
        <v>3600000</v>
      </c>
      <c r="H57" s="199">
        <f t="shared" si="2"/>
        <v>60</v>
      </c>
      <c r="I57" s="104" t="s">
        <v>291</v>
      </c>
      <c r="J57" s="105"/>
      <c r="K57" s="105">
        <v>800000</v>
      </c>
      <c r="L57" s="107" t="s">
        <v>123</v>
      </c>
      <c r="M57" s="108">
        <v>12</v>
      </c>
      <c r="N57" s="107"/>
      <c r="O57" s="105"/>
      <c r="P57" s="110" t="s">
        <v>153</v>
      </c>
      <c r="Q57" s="105">
        <f>K57*M57</f>
        <v>9600000</v>
      </c>
      <c r="R57" s="111" t="s">
        <v>121</v>
      </c>
      <c r="T57" s="228"/>
      <c r="U57" s="202"/>
      <c r="W57" s="203">
        <f t="shared" si="3"/>
        <v>0</v>
      </c>
    </row>
    <row r="58" spans="1:26" s="96" customFormat="1" ht="24" customHeight="1">
      <c r="A58" s="207"/>
      <c r="B58" s="196" t="s">
        <v>178</v>
      </c>
      <c r="C58" s="196" t="s">
        <v>164</v>
      </c>
      <c r="D58" s="196"/>
      <c r="E58" s="205">
        <f>SUM(E59:E62)</f>
        <v>740000</v>
      </c>
      <c r="F58" s="205">
        <f>F59+F60+F61+F62</f>
        <v>19200000</v>
      </c>
      <c r="G58" s="198">
        <f t="shared" ref="G58:G68" si="5">F58-E58</f>
        <v>18460000</v>
      </c>
      <c r="H58" s="199">
        <f t="shared" ref="H58:H68" si="6">G58/E58*100</f>
        <v>2494.5945945945946</v>
      </c>
      <c r="I58" s="921" t="s">
        <v>288</v>
      </c>
      <c r="J58" s="922"/>
      <c r="K58" s="922"/>
      <c r="L58" s="922"/>
      <c r="M58" s="922"/>
      <c r="N58" s="94"/>
      <c r="O58" s="94"/>
      <c r="P58" s="94"/>
      <c r="Q58" s="94">
        <f>Q59+Q60+Q61+Q62</f>
        <v>19200000</v>
      </c>
      <c r="R58" s="95" t="s">
        <v>121</v>
      </c>
      <c r="S58" s="249"/>
      <c r="T58" s="250"/>
      <c r="U58" s="251"/>
      <c r="V58" s="252"/>
      <c r="W58" s="203">
        <f t="shared" si="3"/>
        <v>0</v>
      </c>
      <c r="Z58" s="127" t="e">
        <f>Z53-#REF!</f>
        <v>#REF!</v>
      </c>
    </row>
    <row r="59" spans="1:26" s="96" customFormat="1" ht="20.25" customHeight="1">
      <c r="A59" s="207"/>
      <c r="B59" s="208"/>
      <c r="C59" s="196" t="s">
        <v>426</v>
      </c>
      <c r="D59" s="196"/>
      <c r="E59" s="205">
        <v>185000</v>
      </c>
      <c r="F59" s="205">
        <f>Q59</f>
        <v>4800000</v>
      </c>
      <c r="G59" s="198">
        <f t="shared" si="5"/>
        <v>4615000</v>
      </c>
      <c r="H59" s="199">
        <f t="shared" si="6"/>
        <v>2494.5945945945946</v>
      </c>
      <c r="I59" s="152" t="s">
        <v>426</v>
      </c>
      <c r="J59" s="106"/>
      <c r="K59" s="105">
        <v>400000</v>
      </c>
      <c r="L59" s="107" t="s">
        <v>123</v>
      </c>
      <c r="M59" s="108">
        <v>12</v>
      </c>
      <c r="N59" s="107"/>
      <c r="O59" s="105"/>
      <c r="P59" s="110" t="s">
        <v>153</v>
      </c>
      <c r="Q59" s="105">
        <f>K59*M59</f>
        <v>4800000</v>
      </c>
      <c r="R59" s="111" t="s">
        <v>121</v>
      </c>
      <c r="S59" s="249"/>
      <c r="T59" s="250"/>
      <c r="U59" s="251"/>
      <c r="V59" s="252"/>
      <c r="W59" s="203">
        <f t="shared" si="3"/>
        <v>0</v>
      </c>
    </row>
    <row r="60" spans="1:26" s="96" customFormat="1" ht="23.25" customHeight="1">
      <c r="A60" s="207"/>
      <c r="B60" s="210"/>
      <c r="C60" s="196" t="s">
        <v>507</v>
      </c>
      <c r="D60" s="196"/>
      <c r="E60" s="205">
        <v>185000</v>
      </c>
      <c r="F60" s="205">
        <f>Q60</f>
        <v>4800000</v>
      </c>
      <c r="G60" s="198">
        <f t="shared" si="5"/>
        <v>4615000</v>
      </c>
      <c r="H60" s="199">
        <f t="shared" si="6"/>
        <v>2494.5945945945946</v>
      </c>
      <c r="I60" s="152" t="s">
        <v>507</v>
      </c>
      <c r="J60" s="106"/>
      <c r="K60" s="105">
        <v>400000</v>
      </c>
      <c r="L60" s="107" t="s">
        <v>123</v>
      </c>
      <c r="M60" s="108">
        <v>12</v>
      </c>
      <c r="N60" s="107"/>
      <c r="O60" s="105"/>
      <c r="P60" s="110" t="s">
        <v>153</v>
      </c>
      <c r="Q60" s="105">
        <f>K60*M60</f>
        <v>4800000</v>
      </c>
      <c r="R60" s="111" t="s">
        <v>121</v>
      </c>
      <c r="S60" s="249" t="s">
        <v>290</v>
      </c>
      <c r="T60" s="250">
        <f>F60-U60-V60</f>
        <v>-2700000</v>
      </c>
      <c r="U60" s="251">
        <v>4500000</v>
      </c>
      <c r="V60" s="253">
        <v>3000000</v>
      </c>
      <c r="W60" s="203">
        <f t="shared" si="3"/>
        <v>4800000</v>
      </c>
    </row>
    <row r="61" spans="1:26" s="96" customFormat="1" ht="21" customHeight="1">
      <c r="A61" s="207"/>
      <c r="B61" s="210"/>
      <c r="C61" s="196" t="s">
        <v>440</v>
      </c>
      <c r="D61" s="254"/>
      <c r="E61" s="205">
        <v>185000</v>
      </c>
      <c r="F61" s="205">
        <f>Q61</f>
        <v>4800000</v>
      </c>
      <c r="G61" s="198">
        <f t="shared" si="5"/>
        <v>4615000</v>
      </c>
      <c r="H61" s="199">
        <f t="shared" si="6"/>
        <v>2494.5945945945946</v>
      </c>
      <c r="I61" s="152" t="s">
        <v>440</v>
      </c>
      <c r="J61" s="153"/>
      <c r="K61" s="105">
        <v>400000</v>
      </c>
      <c r="L61" s="107" t="s">
        <v>123</v>
      </c>
      <c r="M61" s="108">
        <v>12</v>
      </c>
      <c r="N61" s="107"/>
      <c r="O61" s="105"/>
      <c r="P61" s="110" t="s">
        <v>153</v>
      </c>
      <c r="Q61" s="105">
        <f>K61*M61</f>
        <v>4800000</v>
      </c>
      <c r="R61" s="111" t="s">
        <v>121</v>
      </c>
      <c r="S61" s="249" t="s">
        <v>290</v>
      </c>
      <c r="T61" s="250">
        <f>F61-U61-V61</f>
        <v>4800000</v>
      </c>
      <c r="U61" s="251"/>
      <c r="V61" s="253">
        <v>0</v>
      </c>
      <c r="W61" s="203">
        <f t="shared" si="3"/>
        <v>4800000</v>
      </c>
    </row>
    <row r="62" spans="1:26" s="96" customFormat="1" ht="23.25" customHeight="1">
      <c r="A62" s="230"/>
      <c r="B62" s="218"/>
      <c r="C62" s="229" t="s">
        <v>459</v>
      </c>
      <c r="D62" s="196"/>
      <c r="E62" s="205">
        <v>185000</v>
      </c>
      <c r="F62" s="205">
        <f>Q62</f>
        <v>4800000</v>
      </c>
      <c r="G62" s="198">
        <f t="shared" si="5"/>
        <v>4615000</v>
      </c>
      <c r="H62" s="199">
        <f t="shared" si="6"/>
        <v>2494.5945945945946</v>
      </c>
      <c r="I62" s="152" t="s">
        <v>459</v>
      </c>
      <c r="J62" s="106"/>
      <c r="K62" s="105">
        <v>400000</v>
      </c>
      <c r="L62" s="107" t="s">
        <v>123</v>
      </c>
      <c r="M62" s="108">
        <v>12</v>
      </c>
      <c r="N62" s="107"/>
      <c r="O62" s="105"/>
      <c r="P62" s="110" t="s">
        <v>153</v>
      </c>
      <c r="Q62" s="105">
        <f>K62*M62</f>
        <v>4800000</v>
      </c>
      <c r="R62" s="111" t="s">
        <v>121</v>
      </c>
      <c r="S62" s="249" t="s">
        <v>290</v>
      </c>
      <c r="T62" s="250" t="e">
        <f>F62-U62-V62-#REF!</f>
        <v>#REF!</v>
      </c>
      <c r="U62" s="251">
        <v>4000000</v>
      </c>
      <c r="V62" s="253">
        <v>2175729</v>
      </c>
      <c r="W62" s="203" t="e">
        <f>T62+U62+V62+#REF!</f>
        <v>#REF!</v>
      </c>
    </row>
    <row r="63" spans="1:26" ht="16.5" customHeight="1">
      <c r="A63" s="193" t="s">
        <v>109</v>
      </c>
      <c r="B63" s="952" t="s">
        <v>114</v>
      </c>
      <c r="C63" s="953"/>
      <c r="D63" s="264"/>
      <c r="E63" s="262">
        <f>E64</f>
        <v>191000</v>
      </c>
      <c r="F63" s="262">
        <f>F64</f>
        <v>1600000</v>
      </c>
      <c r="G63" s="263">
        <f t="shared" si="5"/>
        <v>1409000</v>
      </c>
      <c r="H63" s="199">
        <f t="shared" si="6"/>
        <v>737.69633507853405</v>
      </c>
      <c r="I63" s="93" t="s">
        <v>455</v>
      </c>
      <c r="J63" s="94"/>
      <c r="K63" s="94"/>
      <c r="L63" s="94"/>
      <c r="M63" s="94"/>
      <c r="N63" s="94"/>
      <c r="O63" s="94"/>
      <c r="P63" s="94"/>
      <c r="Q63" s="94">
        <f>Q64</f>
        <v>1600000</v>
      </c>
      <c r="R63" s="95" t="s">
        <v>121</v>
      </c>
      <c r="T63" s="228"/>
      <c r="U63" s="202"/>
      <c r="V63" s="212">
        <v>220000</v>
      </c>
      <c r="W63" s="203">
        <f t="shared" si="3"/>
        <v>220000</v>
      </c>
    </row>
    <row r="64" spans="1:26" ht="16.5" customHeight="1">
      <c r="A64" s="204"/>
      <c r="B64" s="196" t="s">
        <v>109</v>
      </c>
      <c r="C64" s="229" t="s">
        <v>164</v>
      </c>
      <c r="D64" s="265"/>
      <c r="E64" s="266">
        <f>E65</f>
        <v>191000</v>
      </c>
      <c r="F64" s="266">
        <f>F65</f>
        <v>1600000</v>
      </c>
      <c r="G64" s="263">
        <f t="shared" si="5"/>
        <v>1409000</v>
      </c>
      <c r="H64" s="199">
        <f t="shared" si="6"/>
        <v>737.69633507853405</v>
      </c>
      <c r="I64" s="93" t="s">
        <v>485</v>
      </c>
      <c r="J64" s="94"/>
      <c r="K64" s="94"/>
      <c r="L64" s="94"/>
      <c r="M64" s="94"/>
      <c r="N64" s="94"/>
      <c r="O64" s="94"/>
      <c r="P64" s="94"/>
      <c r="Q64" s="94">
        <f>Q65</f>
        <v>1600000</v>
      </c>
      <c r="R64" s="95" t="s">
        <v>121</v>
      </c>
      <c r="T64" s="228"/>
      <c r="U64" s="202"/>
      <c r="W64" s="203">
        <f t="shared" si="3"/>
        <v>0</v>
      </c>
    </row>
    <row r="65" spans="1:36" ht="16.5" customHeight="1">
      <c r="A65" s="230"/>
      <c r="B65" s="208"/>
      <c r="C65" s="229" t="s">
        <v>109</v>
      </c>
      <c r="D65" s="265"/>
      <c r="E65" s="266">
        <v>191000</v>
      </c>
      <c r="F65" s="205">
        <f>Q65</f>
        <v>1600000</v>
      </c>
      <c r="G65" s="263">
        <f t="shared" si="5"/>
        <v>1409000</v>
      </c>
      <c r="H65" s="199">
        <f t="shared" si="6"/>
        <v>737.69633507853405</v>
      </c>
      <c r="I65" s="104" t="s">
        <v>109</v>
      </c>
      <c r="J65" s="105"/>
      <c r="K65" s="105"/>
      <c r="L65" s="105"/>
      <c r="M65" s="105"/>
      <c r="N65" s="105"/>
      <c r="O65" s="105"/>
      <c r="P65" s="105"/>
      <c r="Q65" s="105">
        <v>1600000</v>
      </c>
      <c r="R65" s="111" t="s">
        <v>121</v>
      </c>
      <c r="S65" s="200" t="s">
        <v>142</v>
      </c>
      <c r="T65" s="228"/>
      <c r="U65" s="202"/>
      <c r="W65" s="203">
        <f t="shared" si="3"/>
        <v>0</v>
      </c>
    </row>
    <row r="66" spans="1:36" ht="16.5" customHeight="1">
      <c r="A66" s="193" t="s">
        <v>154</v>
      </c>
      <c r="B66" s="952" t="s">
        <v>114</v>
      </c>
      <c r="C66" s="953"/>
      <c r="D66" s="264"/>
      <c r="E66" s="262">
        <f>E67</f>
        <v>300000</v>
      </c>
      <c r="F66" s="262">
        <f>F67</f>
        <v>300000</v>
      </c>
      <c r="G66" s="263">
        <f t="shared" si="5"/>
        <v>0</v>
      </c>
      <c r="H66" s="199">
        <f t="shared" si="6"/>
        <v>0</v>
      </c>
      <c r="I66" s="93" t="s">
        <v>492</v>
      </c>
      <c r="J66" s="94"/>
      <c r="K66" s="94"/>
      <c r="L66" s="94"/>
      <c r="M66" s="94"/>
      <c r="N66" s="94"/>
      <c r="O66" s="94"/>
      <c r="P66" s="94"/>
      <c r="Q66" s="94">
        <f>Q67</f>
        <v>300000</v>
      </c>
      <c r="R66" s="95" t="s">
        <v>121</v>
      </c>
      <c r="T66" s="228">
        <v>760000</v>
      </c>
      <c r="U66" s="202"/>
      <c r="V66" s="212">
        <v>240000</v>
      </c>
      <c r="W66" s="203">
        <f t="shared" si="3"/>
        <v>1000000</v>
      </c>
    </row>
    <row r="67" spans="1:36" ht="16.5" customHeight="1">
      <c r="A67" s="204"/>
      <c r="B67" s="196" t="s">
        <v>154</v>
      </c>
      <c r="C67" s="229" t="s">
        <v>164</v>
      </c>
      <c r="D67" s="264"/>
      <c r="E67" s="262">
        <f>E68</f>
        <v>300000</v>
      </c>
      <c r="F67" s="262">
        <f>F68</f>
        <v>300000</v>
      </c>
      <c r="G67" s="263">
        <f t="shared" si="5"/>
        <v>0</v>
      </c>
      <c r="H67" s="199">
        <f t="shared" si="6"/>
        <v>0</v>
      </c>
      <c r="I67" s="93" t="s">
        <v>478</v>
      </c>
      <c r="J67" s="94"/>
      <c r="K67" s="94"/>
      <c r="L67" s="94"/>
      <c r="M67" s="94"/>
      <c r="N67" s="94"/>
      <c r="O67" s="94"/>
      <c r="P67" s="94"/>
      <c r="Q67" s="94">
        <f>Q68</f>
        <v>300000</v>
      </c>
      <c r="R67" s="95" t="s">
        <v>121</v>
      </c>
      <c r="T67" s="228"/>
      <c r="U67" s="202"/>
      <c r="W67" s="203">
        <f t="shared" si="3"/>
        <v>0</v>
      </c>
    </row>
    <row r="68" spans="1:36" ht="16.5" customHeight="1">
      <c r="A68" s="234"/>
      <c r="B68" s="236"/>
      <c r="C68" s="267" t="s">
        <v>154</v>
      </c>
      <c r="D68" s="268"/>
      <c r="E68" s="255">
        <v>300000</v>
      </c>
      <c r="F68" s="255">
        <f>Q68</f>
        <v>300000</v>
      </c>
      <c r="G68" s="256">
        <f t="shared" si="5"/>
        <v>0</v>
      </c>
      <c r="H68" s="269">
        <f t="shared" si="6"/>
        <v>0</v>
      </c>
      <c r="I68" s="161" t="s">
        <v>154</v>
      </c>
      <c r="J68" s="162"/>
      <c r="K68" s="162"/>
      <c r="L68" s="162"/>
      <c r="M68" s="162"/>
      <c r="N68" s="162"/>
      <c r="O68" s="162"/>
      <c r="P68" s="162"/>
      <c r="Q68" s="162">
        <v>300000</v>
      </c>
      <c r="R68" s="163" t="s">
        <v>121</v>
      </c>
      <c r="S68" s="200" t="s">
        <v>142</v>
      </c>
      <c r="T68" s="228"/>
      <c r="U68" s="202"/>
      <c r="W68" s="203">
        <f t="shared" si="3"/>
        <v>0</v>
      </c>
    </row>
    <row r="69" spans="1:36">
      <c r="B69" s="150"/>
      <c r="C69" s="150"/>
      <c r="E69" s="166"/>
    </row>
    <row r="70" spans="1:36">
      <c r="B70" s="150"/>
      <c r="C70" s="150"/>
    </row>
    <row r="71" spans="1:36">
      <c r="B71" s="150"/>
      <c r="C71" s="150"/>
    </row>
    <row r="72" spans="1:36" s="96" customFormat="1">
      <c r="B72" s="150"/>
      <c r="C72" s="150"/>
      <c r="F72" s="270"/>
      <c r="G72" s="168"/>
      <c r="H72" s="168"/>
      <c r="I72" s="169"/>
      <c r="S72" s="200"/>
      <c r="T72" s="201"/>
      <c r="U72" s="201"/>
      <c r="V72" s="201"/>
      <c r="W72" s="174"/>
      <c r="X72" s="174"/>
      <c r="Y72" s="174"/>
      <c r="Z72" s="174"/>
      <c r="AA72" s="174"/>
      <c r="AB72" s="174"/>
      <c r="AC72" s="174"/>
      <c r="AD72" s="174"/>
      <c r="AE72" s="174"/>
      <c r="AF72" s="174"/>
      <c r="AG72" s="174"/>
      <c r="AH72" s="174"/>
      <c r="AI72" s="174"/>
      <c r="AJ72" s="174"/>
    </row>
    <row r="73" spans="1:36" s="96" customFormat="1">
      <c r="B73" s="150"/>
      <c r="C73" s="150"/>
      <c r="F73" s="270"/>
      <c r="G73" s="168"/>
      <c r="H73" s="168"/>
      <c r="I73" s="169"/>
      <c r="S73" s="200"/>
      <c r="T73" s="201"/>
      <c r="U73" s="201"/>
      <c r="V73" s="201"/>
      <c r="W73" s="174"/>
      <c r="X73" s="174"/>
      <c r="Y73" s="174"/>
      <c r="Z73" s="174"/>
      <c r="AA73" s="174"/>
      <c r="AB73" s="174"/>
      <c r="AC73" s="174"/>
      <c r="AD73" s="174"/>
      <c r="AE73" s="174"/>
      <c r="AF73" s="174"/>
      <c r="AG73" s="174"/>
      <c r="AH73" s="174"/>
      <c r="AI73" s="174"/>
      <c r="AJ73" s="174"/>
    </row>
    <row r="74" spans="1:36" s="96" customFormat="1">
      <c r="B74" s="150"/>
      <c r="C74" s="150"/>
      <c r="F74" s="270"/>
      <c r="G74" s="168"/>
      <c r="H74" s="168"/>
      <c r="I74" s="169"/>
      <c r="S74" s="200"/>
      <c r="T74" s="201"/>
      <c r="U74" s="201"/>
      <c r="V74" s="201"/>
      <c r="W74" s="174"/>
      <c r="X74" s="174"/>
      <c r="Y74" s="174"/>
      <c r="Z74" s="174"/>
      <c r="AA74" s="174"/>
      <c r="AB74" s="174"/>
      <c r="AC74" s="174"/>
      <c r="AD74" s="174"/>
      <c r="AE74" s="174"/>
      <c r="AF74" s="174"/>
      <c r="AG74" s="174"/>
      <c r="AH74" s="174"/>
      <c r="AI74" s="174"/>
      <c r="AJ74" s="174"/>
    </row>
    <row r="75" spans="1:36" s="96" customFormat="1">
      <c r="B75" s="150"/>
      <c r="C75" s="150"/>
      <c r="F75" s="270"/>
      <c r="G75" s="168"/>
      <c r="H75" s="168"/>
      <c r="I75" s="169"/>
      <c r="S75" s="200"/>
      <c r="T75" s="201"/>
      <c r="U75" s="201"/>
      <c r="V75" s="201"/>
      <c r="W75" s="174"/>
      <c r="X75" s="174"/>
      <c r="Y75" s="174"/>
      <c r="Z75" s="174"/>
      <c r="AA75" s="174"/>
      <c r="AB75" s="174"/>
      <c r="AC75" s="174"/>
      <c r="AD75" s="174"/>
      <c r="AE75" s="174"/>
      <c r="AF75" s="174"/>
      <c r="AG75" s="174"/>
      <c r="AH75" s="174"/>
      <c r="AI75" s="174"/>
      <c r="AJ75" s="174"/>
    </row>
    <row r="76" spans="1:36" s="96" customFormat="1">
      <c r="B76" s="150"/>
      <c r="C76" s="150"/>
      <c r="F76" s="270"/>
      <c r="G76" s="168"/>
      <c r="H76" s="168"/>
      <c r="I76" s="169"/>
      <c r="S76" s="200"/>
      <c r="T76" s="201"/>
      <c r="U76" s="201"/>
      <c r="V76" s="201"/>
      <c r="W76" s="174"/>
      <c r="X76" s="174"/>
      <c r="Y76" s="174"/>
      <c r="Z76" s="174"/>
      <c r="AA76" s="174"/>
      <c r="AB76" s="174"/>
      <c r="AC76" s="174"/>
      <c r="AD76" s="174"/>
      <c r="AE76" s="174"/>
      <c r="AF76" s="174"/>
      <c r="AG76" s="174"/>
      <c r="AH76" s="174"/>
      <c r="AI76" s="174"/>
      <c r="AJ76" s="174"/>
    </row>
    <row r="77" spans="1:36" s="96" customFormat="1">
      <c r="B77" s="150"/>
      <c r="C77" s="150"/>
      <c r="F77" s="270"/>
      <c r="G77" s="168"/>
      <c r="H77" s="168"/>
      <c r="I77" s="169"/>
      <c r="S77" s="200"/>
      <c r="T77" s="201"/>
      <c r="U77" s="201"/>
      <c r="V77" s="201"/>
      <c r="W77" s="174"/>
      <c r="X77" s="174"/>
      <c r="Y77" s="174"/>
      <c r="Z77" s="174"/>
      <c r="AA77" s="174"/>
      <c r="AB77" s="174"/>
      <c r="AC77" s="174"/>
      <c r="AD77" s="174"/>
      <c r="AE77" s="174"/>
      <c r="AF77" s="174"/>
      <c r="AG77" s="174"/>
      <c r="AH77" s="174"/>
      <c r="AI77" s="174"/>
      <c r="AJ77" s="174"/>
    </row>
    <row r="78" spans="1:36" s="96" customFormat="1">
      <c r="B78" s="150"/>
      <c r="C78" s="150"/>
      <c r="F78" s="270"/>
      <c r="G78" s="168"/>
      <c r="H78" s="168"/>
      <c r="I78" s="169"/>
      <c r="S78" s="200"/>
      <c r="T78" s="201"/>
      <c r="U78" s="201"/>
      <c r="V78" s="201"/>
      <c r="W78" s="174"/>
      <c r="X78" s="174"/>
      <c r="Y78" s="174"/>
      <c r="Z78" s="174"/>
      <c r="AA78" s="174"/>
      <c r="AB78" s="174"/>
      <c r="AC78" s="174"/>
      <c r="AD78" s="174"/>
      <c r="AE78" s="174"/>
      <c r="AF78" s="174"/>
      <c r="AG78" s="174"/>
      <c r="AH78" s="174"/>
      <c r="AI78" s="174"/>
      <c r="AJ78" s="174"/>
    </row>
    <row r="79" spans="1:36" s="96" customFormat="1">
      <c r="B79" s="150"/>
      <c r="C79" s="150"/>
      <c r="F79" s="270"/>
      <c r="G79" s="168"/>
      <c r="H79" s="168"/>
      <c r="I79" s="169"/>
      <c r="S79" s="200"/>
      <c r="T79" s="201"/>
      <c r="U79" s="201"/>
      <c r="V79" s="201"/>
      <c r="W79" s="174"/>
      <c r="X79" s="174"/>
      <c r="Y79" s="174"/>
      <c r="Z79" s="174"/>
      <c r="AA79" s="174"/>
      <c r="AB79" s="174"/>
      <c r="AC79" s="174"/>
      <c r="AD79" s="174"/>
      <c r="AE79" s="174"/>
      <c r="AF79" s="174"/>
      <c r="AG79" s="174"/>
      <c r="AH79" s="174"/>
      <c r="AI79" s="174"/>
      <c r="AJ79" s="174"/>
    </row>
    <row r="80" spans="1:36" s="96" customFormat="1">
      <c r="B80" s="150"/>
      <c r="C80" s="150"/>
      <c r="F80" s="270"/>
      <c r="G80" s="168"/>
      <c r="H80" s="168"/>
      <c r="I80" s="169"/>
      <c r="S80" s="200"/>
      <c r="T80" s="201"/>
      <c r="U80" s="201"/>
      <c r="V80" s="201"/>
      <c r="W80" s="174"/>
      <c r="X80" s="174"/>
      <c r="Y80" s="174"/>
      <c r="Z80" s="174"/>
      <c r="AA80" s="174"/>
      <c r="AB80" s="174"/>
      <c r="AC80" s="174"/>
      <c r="AD80" s="174"/>
      <c r="AE80" s="174"/>
      <c r="AF80" s="174"/>
      <c r="AG80" s="174"/>
      <c r="AH80" s="174"/>
      <c r="AI80" s="174"/>
      <c r="AJ80" s="174"/>
    </row>
    <row r="81" spans="2:36" s="96" customFormat="1">
      <c r="B81" s="150"/>
      <c r="C81" s="150"/>
      <c r="F81" s="270"/>
      <c r="G81" s="168"/>
      <c r="H81" s="168"/>
      <c r="I81" s="169"/>
      <c r="S81" s="200"/>
      <c r="T81" s="201"/>
      <c r="U81" s="201"/>
      <c r="V81" s="201"/>
      <c r="W81" s="174"/>
      <c r="X81" s="174"/>
      <c r="Y81" s="174"/>
      <c r="Z81" s="174"/>
      <c r="AA81" s="174"/>
      <c r="AB81" s="174"/>
      <c r="AC81" s="174"/>
      <c r="AD81" s="174"/>
      <c r="AE81" s="174"/>
      <c r="AF81" s="174"/>
      <c r="AG81" s="174"/>
      <c r="AH81" s="174"/>
      <c r="AI81" s="174"/>
      <c r="AJ81" s="174"/>
    </row>
    <row r="82" spans="2:36" s="96" customFormat="1">
      <c r="B82" s="150"/>
      <c r="C82" s="150"/>
      <c r="F82" s="270"/>
      <c r="G82" s="168"/>
      <c r="H82" s="168"/>
      <c r="I82" s="169"/>
      <c r="S82" s="200"/>
      <c r="T82" s="201"/>
      <c r="U82" s="201"/>
      <c r="V82" s="201"/>
      <c r="W82" s="174"/>
      <c r="X82" s="174"/>
      <c r="Y82" s="174"/>
      <c r="Z82" s="174"/>
      <c r="AA82" s="174"/>
      <c r="AB82" s="174"/>
      <c r="AC82" s="174"/>
      <c r="AD82" s="174"/>
      <c r="AE82" s="174"/>
      <c r="AF82" s="174"/>
      <c r="AG82" s="174"/>
      <c r="AH82" s="174"/>
      <c r="AI82" s="174"/>
      <c r="AJ82" s="174"/>
    </row>
    <row r="83" spans="2:36" s="96" customFormat="1">
      <c r="B83" s="150"/>
      <c r="C83" s="150"/>
      <c r="F83" s="270"/>
      <c r="G83" s="168"/>
      <c r="H83" s="168"/>
      <c r="I83" s="169"/>
      <c r="S83" s="200"/>
      <c r="T83" s="201"/>
      <c r="U83" s="201"/>
      <c r="V83" s="201"/>
      <c r="W83" s="174"/>
      <c r="X83" s="174"/>
      <c r="Y83" s="174"/>
      <c r="Z83" s="174"/>
      <c r="AA83" s="174"/>
      <c r="AB83" s="174"/>
      <c r="AC83" s="174"/>
      <c r="AD83" s="174"/>
      <c r="AE83" s="174"/>
      <c r="AF83" s="174"/>
      <c r="AG83" s="174"/>
      <c r="AH83" s="174"/>
      <c r="AI83" s="174"/>
      <c r="AJ83" s="174"/>
    </row>
    <row r="84" spans="2:36" s="96" customFormat="1">
      <c r="B84" s="150"/>
      <c r="C84" s="150"/>
      <c r="F84" s="270"/>
      <c r="G84" s="168"/>
      <c r="H84" s="168"/>
      <c r="I84" s="169"/>
      <c r="S84" s="200"/>
      <c r="T84" s="201"/>
      <c r="U84" s="201"/>
      <c r="V84" s="201"/>
      <c r="W84" s="174"/>
      <c r="X84" s="174"/>
      <c r="Y84" s="174"/>
      <c r="Z84" s="174"/>
      <c r="AA84" s="174"/>
      <c r="AB84" s="174"/>
      <c r="AC84" s="174"/>
      <c r="AD84" s="174"/>
      <c r="AE84" s="174"/>
      <c r="AF84" s="174"/>
      <c r="AG84" s="174"/>
      <c r="AH84" s="174"/>
      <c r="AI84" s="174"/>
      <c r="AJ84" s="174"/>
    </row>
    <row r="85" spans="2:36" s="96" customFormat="1">
      <c r="B85" s="150"/>
      <c r="C85" s="150"/>
      <c r="F85" s="270"/>
      <c r="G85" s="168"/>
      <c r="H85" s="168"/>
      <c r="I85" s="169"/>
      <c r="S85" s="200"/>
      <c r="T85" s="201"/>
      <c r="U85" s="201"/>
      <c r="V85" s="201"/>
      <c r="W85" s="174"/>
      <c r="X85" s="174"/>
      <c r="Y85" s="174"/>
      <c r="Z85" s="174"/>
      <c r="AA85" s="174"/>
      <c r="AB85" s="174"/>
      <c r="AC85" s="174"/>
      <c r="AD85" s="174"/>
      <c r="AE85" s="174"/>
      <c r="AF85" s="174"/>
      <c r="AG85" s="174"/>
      <c r="AH85" s="174"/>
      <c r="AI85" s="174"/>
      <c r="AJ85" s="174"/>
    </row>
    <row r="86" spans="2:36" s="96" customFormat="1">
      <c r="B86" s="150"/>
      <c r="C86" s="150"/>
      <c r="F86" s="270"/>
      <c r="G86" s="168"/>
      <c r="H86" s="168"/>
      <c r="I86" s="169"/>
      <c r="S86" s="200"/>
      <c r="T86" s="201"/>
      <c r="U86" s="201"/>
      <c r="V86" s="201"/>
      <c r="W86" s="174"/>
      <c r="X86" s="174"/>
      <c r="Y86" s="174"/>
      <c r="Z86" s="174"/>
      <c r="AA86" s="174"/>
      <c r="AB86" s="174"/>
      <c r="AC86" s="174"/>
      <c r="AD86" s="174"/>
      <c r="AE86" s="174"/>
      <c r="AF86" s="174"/>
      <c r="AG86" s="174"/>
      <c r="AH86" s="174"/>
      <c r="AI86" s="174"/>
      <c r="AJ86" s="174"/>
    </row>
    <row r="87" spans="2:36" s="96" customFormat="1">
      <c r="B87" s="150"/>
      <c r="C87" s="150"/>
      <c r="F87" s="270"/>
      <c r="G87" s="168"/>
      <c r="H87" s="168"/>
      <c r="I87" s="169"/>
      <c r="S87" s="200"/>
      <c r="T87" s="201"/>
      <c r="U87" s="201"/>
      <c r="V87" s="201"/>
      <c r="W87" s="174"/>
      <c r="X87" s="174"/>
      <c r="Y87" s="174"/>
      <c r="Z87" s="174"/>
      <c r="AA87" s="174"/>
      <c r="AB87" s="174"/>
      <c r="AC87" s="174"/>
      <c r="AD87" s="174"/>
      <c r="AE87" s="174"/>
      <c r="AF87" s="174"/>
      <c r="AG87" s="174"/>
      <c r="AH87" s="174"/>
      <c r="AI87" s="174"/>
      <c r="AJ87" s="174"/>
    </row>
    <row r="88" spans="2:36" s="96" customFormat="1">
      <c r="B88" s="150"/>
      <c r="C88" s="150"/>
      <c r="F88" s="270"/>
      <c r="G88" s="168"/>
      <c r="H88" s="168"/>
      <c r="I88" s="169"/>
      <c r="S88" s="200"/>
      <c r="T88" s="201"/>
      <c r="U88" s="201"/>
      <c r="V88" s="201"/>
      <c r="W88" s="174"/>
      <c r="X88" s="174"/>
      <c r="Y88" s="174"/>
      <c r="Z88" s="174"/>
      <c r="AA88" s="174"/>
      <c r="AB88" s="174"/>
      <c r="AC88" s="174"/>
      <c r="AD88" s="174"/>
      <c r="AE88" s="174"/>
      <c r="AF88" s="174"/>
      <c r="AG88" s="174"/>
      <c r="AH88" s="174"/>
      <c r="AI88" s="174"/>
      <c r="AJ88" s="174"/>
    </row>
    <row r="89" spans="2:36" s="96" customFormat="1">
      <c r="B89" s="150"/>
      <c r="C89" s="150"/>
      <c r="F89" s="270"/>
      <c r="G89" s="168"/>
      <c r="H89" s="168"/>
      <c r="I89" s="169"/>
      <c r="S89" s="200"/>
      <c r="T89" s="201"/>
      <c r="U89" s="201"/>
      <c r="V89" s="201"/>
      <c r="W89" s="174"/>
      <c r="X89" s="174"/>
      <c r="Y89" s="174"/>
      <c r="Z89" s="174"/>
      <c r="AA89" s="174"/>
      <c r="AB89" s="174"/>
      <c r="AC89" s="174"/>
      <c r="AD89" s="174"/>
      <c r="AE89" s="174"/>
      <c r="AF89" s="174"/>
      <c r="AG89" s="174"/>
      <c r="AH89" s="174"/>
      <c r="AI89" s="174"/>
      <c r="AJ89" s="174"/>
    </row>
    <row r="90" spans="2:36" s="96" customFormat="1">
      <c r="B90" s="150"/>
      <c r="C90" s="150"/>
      <c r="F90" s="270"/>
      <c r="G90" s="168"/>
      <c r="H90" s="168"/>
      <c r="I90" s="169"/>
      <c r="S90" s="200"/>
      <c r="T90" s="201"/>
      <c r="U90" s="201"/>
      <c r="V90" s="201"/>
      <c r="W90" s="174"/>
      <c r="X90" s="174"/>
      <c r="Y90" s="174"/>
      <c r="Z90" s="174"/>
      <c r="AA90" s="174"/>
      <c r="AB90" s="174"/>
      <c r="AC90" s="174"/>
      <c r="AD90" s="174"/>
      <c r="AE90" s="174"/>
      <c r="AF90" s="174"/>
      <c r="AG90" s="174"/>
      <c r="AH90" s="174"/>
      <c r="AI90" s="174"/>
      <c r="AJ90" s="174"/>
    </row>
    <row r="91" spans="2:36" s="96" customFormat="1">
      <c r="B91" s="150"/>
      <c r="C91" s="150"/>
      <c r="F91" s="270"/>
      <c r="G91" s="168"/>
      <c r="H91" s="168"/>
      <c r="I91" s="169"/>
      <c r="S91" s="200"/>
      <c r="T91" s="201"/>
      <c r="U91" s="201"/>
      <c r="V91" s="201"/>
      <c r="W91" s="174"/>
      <c r="X91" s="174"/>
      <c r="Y91" s="174"/>
      <c r="Z91" s="174"/>
      <c r="AA91" s="174"/>
      <c r="AB91" s="174"/>
      <c r="AC91" s="174"/>
      <c r="AD91" s="174"/>
      <c r="AE91" s="174"/>
      <c r="AF91" s="174"/>
      <c r="AG91" s="174"/>
      <c r="AH91" s="174"/>
      <c r="AI91" s="174"/>
      <c r="AJ91" s="174"/>
    </row>
    <row r="92" spans="2:36" s="96" customFormat="1">
      <c r="B92" s="150"/>
      <c r="C92" s="150"/>
      <c r="F92" s="270"/>
      <c r="G92" s="168"/>
      <c r="H92" s="168"/>
      <c r="I92" s="169"/>
      <c r="S92" s="200"/>
      <c r="T92" s="201"/>
      <c r="U92" s="201"/>
      <c r="V92" s="201"/>
      <c r="W92" s="174"/>
      <c r="X92" s="174"/>
      <c r="Y92" s="174"/>
      <c r="Z92" s="174"/>
      <c r="AA92" s="174"/>
      <c r="AB92" s="174"/>
      <c r="AC92" s="174"/>
      <c r="AD92" s="174"/>
      <c r="AE92" s="174"/>
      <c r="AF92" s="174"/>
      <c r="AG92" s="174"/>
      <c r="AH92" s="174"/>
      <c r="AI92" s="174"/>
      <c r="AJ92" s="174"/>
    </row>
    <row r="93" spans="2:36" s="96" customFormat="1">
      <c r="B93" s="150"/>
      <c r="C93" s="150"/>
      <c r="F93" s="270"/>
      <c r="G93" s="168"/>
      <c r="H93" s="168"/>
      <c r="I93" s="169"/>
      <c r="S93" s="200"/>
      <c r="T93" s="201"/>
      <c r="U93" s="201"/>
      <c r="V93" s="201"/>
      <c r="W93" s="174"/>
      <c r="X93" s="174"/>
      <c r="Y93" s="174"/>
      <c r="Z93" s="174"/>
      <c r="AA93" s="174"/>
      <c r="AB93" s="174"/>
      <c r="AC93" s="174"/>
      <c r="AD93" s="174"/>
      <c r="AE93" s="174"/>
      <c r="AF93" s="174"/>
      <c r="AG93" s="174"/>
      <c r="AH93" s="174"/>
      <c r="AI93" s="174"/>
      <c r="AJ93" s="174"/>
    </row>
    <row r="94" spans="2:36" s="96" customFormat="1">
      <c r="B94" s="150"/>
      <c r="C94" s="150"/>
      <c r="F94" s="270"/>
      <c r="G94" s="168"/>
      <c r="H94" s="168"/>
      <c r="I94" s="169"/>
      <c r="S94" s="200"/>
      <c r="T94" s="201"/>
      <c r="U94" s="201"/>
      <c r="V94" s="201"/>
      <c r="W94" s="174"/>
      <c r="X94" s="174"/>
      <c r="Y94" s="174"/>
      <c r="Z94" s="174"/>
      <c r="AA94" s="174"/>
      <c r="AB94" s="174"/>
      <c r="AC94" s="174"/>
      <c r="AD94" s="174"/>
      <c r="AE94" s="174"/>
      <c r="AF94" s="174"/>
      <c r="AG94" s="174"/>
      <c r="AH94" s="174"/>
      <c r="AI94" s="174"/>
      <c r="AJ94" s="174"/>
    </row>
    <row r="95" spans="2:36" s="96" customFormat="1">
      <c r="B95" s="150"/>
      <c r="C95" s="150"/>
      <c r="F95" s="270"/>
      <c r="G95" s="168"/>
      <c r="H95" s="168"/>
      <c r="I95" s="169"/>
      <c r="S95" s="200"/>
      <c r="T95" s="201"/>
      <c r="U95" s="201"/>
      <c r="V95" s="201"/>
      <c r="W95" s="174"/>
      <c r="X95" s="174"/>
      <c r="Y95" s="174"/>
      <c r="Z95" s="174"/>
      <c r="AA95" s="174"/>
      <c r="AB95" s="174"/>
      <c r="AC95" s="174"/>
      <c r="AD95" s="174"/>
      <c r="AE95" s="174"/>
      <c r="AF95" s="174"/>
      <c r="AG95" s="174"/>
      <c r="AH95" s="174"/>
      <c r="AI95" s="174"/>
      <c r="AJ95" s="174"/>
    </row>
    <row r="96" spans="2:36" s="96" customFormat="1">
      <c r="B96" s="150"/>
      <c r="C96" s="150"/>
      <c r="F96" s="270"/>
      <c r="G96" s="168"/>
      <c r="H96" s="168"/>
      <c r="I96" s="169"/>
      <c r="S96" s="200"/>
      <c r="T96" s="201"/>
      <c r="U96" s="201"/>
      <c r="V96" s="201"/>
      <c r="W96" s="174"/>
      <c r="X96" s="174"/>
      <c r="Y96" s="174"/>
      <c r="Z96" s="174"/>
      <c r="AA96" s="174"/>
      <c r="AB96" s="174"/>
      <c r="AC96" s="174"/>
      <c r="AD96" s="174"/>
      <c r="AE96" s="174"/>
      <c r="AF96" s="174"/>
      <c r="AG96" s="174"/>
      <c r="AH96" s="174"/>
      <c r="AI96" s="174"/>
      <c r="AJ96" s="174"/>
    </row>
    <row r="97" spans="2:36" s="96" customFormat="1">
      <c r="B97" s="150"/>
      <c r="C97" s="150"/>
      <c r="F97" s="270"/>
      <c r="G97" s="168"/>
      <c r="H97" s="168"/>
      <c r="I97" s="169"/>
      <c r="S97" s="200"/>
      <c r="T97" s="201"/>
      <c r="U97" s="201"/>
      <c r="V97" s="201"/>
      <c r="W97" s="174"/>
      <c r="X97" s="174"/>
      <c r="Y97" s="174"/>
      <c r="Z97" s="174"/>
      <c r="AA97" s="174"/>
      <c r="AB97" s="174"/>
      <c r="AC97" s="174"/>
      <c r="AD97" s="174"/>
      <c r="AE97" s="174"/>
      <c r="AF97" s="174"/>
      <c r="AG97" s="174"/>
      <c r="AH97" s="174"/>
      <c r="AI97" s="174"/>
      <c r="AJ97" s="174"/>
    </row>
    <row r="98" spans="2:36" s="96" customFormat="1">
      <c r="B98" s="150"/>
      <c r="C98" s="150"/>
      <c r="F98" s="270"/>
      <c r="G98" s="168"/>
      <c r="H98" s="168"/>
      <c r="I98" s="169"/>
      <c r="S98" s="200"/>
      <c r="T98" s="201"/>
      <c r="U98" s="201"/>
      <c r="V98" s="201"/>
      <c r="W98" s="174"/>
      <c r="X98" s="174"/>
      <c r="Y98" s="174"/>
      <c r="Z98" s="174"/>
      <c r="AA98" s="174"/>
      <c r="AB98" s="174"/>
      <c r="AC98" s="174"/>
      <c r="AD98" s="174"/>
      <c r="AE98" s="174"/>
      <c r="AF98" s="174"/>
      <c r="AG98" s="174"/>
      <c r="AH98" s="174"/>
      <c r="AI98" s="174"/>
      <c r="AJ98" s="174"/>
    </row>
    <row r="99" spans="2:36" s="96" customFormat="1">
      <c r="B99" s="150"/>
      <c r="C99" s="150"/>
      <c r="F99" s="270"/>
      <c r="G99" s="168"/>
      <c r="H99" s="168"/>
      <c r="I99" s="169"/>
      <c r="S99" s="200"/>
      <c r="T99" s="201"/>
      <c r="U99" s="201"/>
      <c r="V99" s="201"/>
      <c r="W99" s="174"/>
      <c r="X99" s="174"/>
      <c r="Y99" s="174"/>
      <c r="Z99" s="174"/>
      <c r="AA99" s="174"/>
      <c r="AB99" s="174"/>
      <c r="AC99" s="174"/>
      <c r="AD99" s="174"/>
      <c r="AE99" s="174"/>
      <c r="AF99" s="174"/>
      <c r="AG99" s="174"/>
      <c r="AH99" s="174"/>
      <c r="AI99" s="174"/>
      <c r="AJ99" s="174"/>
    </row>
  </sheetData>
  <mergeCells count="22">
    <mergeCell ref="I42:M42"/>
    <mergeCell ref="I1:R1"/>
    <mergeCell ref="A2:C2"/>
    <mergeCell ref="I2:R2"/>
    <mergeCell ref="I3:R3"/>
    <mergeCell ref="A4:D4"/>
    <mergeCell ref="E4:E5"/>
    <mergeCell ref="F4:F5"/>
    <mergeCell ref="G4:H4"/>
    <mergeCell ref="I4:R5"/>
    <mergeCell ref="A6:C6"/>
    <mergeCell ref="I27:J27"/>
    <mergeCell ref="I33:N33"/>
    <mergeCell ref="I35:J35"/>
    <mergeCell ref="I41:M41"/>
    <mergeCell ref="B63:C63"/>
    <mergeCell ref="B66:C66"/>
    <mergeCell ref="I44:M44"/>
    <mergeCell ref="I45:M45"/>
    <mergeCell ref="I50:J50"/>
    <mergeCell ref="I52:M52"/>
    <mergeCell ref="I58:M58"/>
  </mergeCells>
  <phoneticPr fontId="65" type="noConversion"/>
  <pageMargins left="0.12986111640930176" right="0.12986111640930176" top="0.33000001311302185" bottom="0.12986111640930176" header="0.12986111640930176" footer="0.12986111640930176"/>
  <pageSetup paperSize="9" scale="84" orientation="portrait" horizontalDpi="4294967293" verticalDpi="4294967293" r:id="rId1"/>
</worksheet>
</file>

<file path=xl/worksheets/sheet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8"/>
  <dimension ref="A1:AJ81"/>
  <sheetViews>
    <sheetView view="pageBreakPreview" zoomScale="85" zoomScaleNormal="100" zoomScaleSheetLayoutView="85" workbookViewId="0">
      <pane xSplit="4" ySplit="5" topLeftCell="F8" activePane="bottomRight" state="frozen"/>
      <selection pane="topRight"/>
      <selection pane="bottomLeft"/>
      <selection pane="bottomRight" activeCell="H27" sqref="H27:J27"/>
    </sheetView>
  </sheetViews>
  <sheetFormatPr defaultColWidth="9" defaultRowHeight="13.5"/>
  <cols>
    <col min="1" max="1" width="7.375" style="96" customWidth="1"/>
    <col min="2" max="2" width="7.875" style="96" customWidth="1"/>
    <col min="3" max="3" width="10.375" style="96" customWidth="1"/>
    <col min="4" max="4" width="9.5" style="96" hidden="1" customWidth="1"/>
    <col min="5" max="5" width="12.875" style="96" customWidth="1"/>
    <col min="6" max="6" width="12.75" style="270" customWidth="1"/>
    <col min="7" max="7" width="13.125" style="168" customWidth="1"/>
    <col min="8" max="8" width="7.5" style="327" customWidth="1"/>
    <col min="9" max="9" width="11.125" style="169" customWidth="1"/>
    <col min="10" max="10" width="3" style="96" customWidth="1"/>
    <col min="11" max="11" width="7.875" style="96" bestFit="1" customWidth="1"/>
    <col min="12" max="12" width="2.25" style="96" bestFit="1" customWidth="1"/>
    <col min="13" max="13" width="5.125" style="96" customWidth="1"/>
    <col min="14" max="14" width="2.25" style="96" bestFit="1" customWidth="1"/>
    <col min="15" max="15" width="3.75" style="96" customWidth="1"/>
    <col min="16" max="16" width="1.75" style="96" customWidth="1"/>
    <col min="17" max="17" width="9.5" style="96" bestFit="1" customWidth="1"/>
    <col min="18" max="18" width="2.625" style="96" customWidth="1"/>
    <col min="19" max="19" width="10" style="200" hidden="1" customWidth="1"/>
    <col min="20" max="22" width="10.25" style="201" hidden="1" customWidth="1"/>
    <col min="23" max="23" width="16.125" style="174" hidden="1" customWidth="1"/>
    <col min="24" max="24" width="14.875" style="174" hidden="1" customWidth="1"/>
    <col min="25" max="25" width="10" style="174" hidden="1" customWidth="1"/>
    <col min="26" max="26" width="16.875" style="174" hidden="1" customWidth="1"/>
    <col min="27" max="27" width="10" style="174" customWidth="1"/>
    <col min="28" max="28" width="13.125" style="174" customWidth="1"/>
    <col min="29" max="29" width="10" style="174" customWidth="1"/>
    <col min="30" max="30" width="17.25" style="174" customWidth="1"/>
    <col min="31" max="34" width="10" style="174" customWidth="1"/>
    <col min="35" max="35" width="9" style="174"/>
    <col min="36" max="36" width="12.75" style="174" bestFit="1" customWidth="1"/>
    <col min="37" max="16384" width="9" style="174"/>
  </cols>
  <sheetData>
    <row r="1" spans="1:36" s="58" customFormat="1" ht="37.5" customHeight="1">
      <c r="A1" s="55" t="s">
        <v>205</v>
      </c>
      <c r="B1" s="55"/>
      <c r="C1" s="55"/>
      <c r="D1" s="65"/>
      <c r="E1" s="65"/>
      <c r="F1" s="85"/>
      <c r="G1" s="175"/>
      <c r="H1" s="271"/>
      <c r="I1" s="933"/>
      <c r="J1" s="933"/>
      <c r="K1" s="933"/>
      <c r="L1" s="933"/>
      <c r="M1" s="933"/>
      <c r="N1" s="933"/>
      <c r="O1" s="933"/>
      <c r="P1" s="933"/>
      <c r="Q1" s="933"/>
      <c r="R1" s="933"/>
      <c r="S1" s="176"/>
      <c r="T1" s="177"/>
      <c r="U1" s="177"/>
      <c r="V1" s="177"/>
    </row>
    <row r="2" spans="1:36" s="58" customFormat="1" ht="23.25" customHeight="1">
      <c r="A2" s="954" t="s">
        <v>515</v>
      </c>
      <c r="B2" s="954"/>
      <c r="C2" s="955"/>
      <c r="D2" s="174"/>
      <c r="E2" s="65"/>
      <c r="F2" s="85"/>
      <c r="G2" s="175"/>
      <c r="H2" s="271"/>
      <c r="I2" s="933"/>
      <c r="J2" s="933"/>
      <c r="K2" s="933"/>
      <c r="L2" s="933"/>
      <c r="M2" s="933"/>
      <c r="N2" s="933"/>
      <c r="O2" s="933"/>
      <c r="P2" s="933"/>
      <c r="Q2" s="933"/>
      <c r="R2" s="933"/>
      <c r="S2" s="176"/>
      <c r="T2" s="177"/>
      <c r="U2" s="177"/>
      <c r="V2" s="177"/>
    </row>
    <row r="3" spans="1:36" s="67" customFormat="1" ht="18" customHeight="1">
      <c r="A3" s="65"/>
      <c r="B3" s="65"/>
      <c r="C3" s="65"/>
      <c r="D3" s="65"/>
      <c r="E3" s="65"/>
      <c r="F3" s="85"/>
      <c r="G3" s="175"/>
      <c r="H3" s="271"/>
      <c r="I3" s="935" t="s">
        <v>501</v>
      </c>
      <c r="J3" s="935"/>
      <c r="K3" s="935"/>
      <c r="L3" s="935"/>
      <c r="M3" s="935"/>
      <c r="N3" s="935"/>
      <c r="O3" s="935"/>
      <c r="P3" s="935"/>
      <c r="Q3" s="935"/>
      <c r="R3" s="935"/>
      <c r="S3" s="178"/>
      <c r="T3" s="179"/>
      <c r="U3" s="179"/>
      <c r="V3" s="179"/>
    </row>
    <row r="4" spans="1:36" s="182" customFormat="1" ht="24.75" customHeight="1">
      <c r="A4" s="936" t="s">
        <v>302</v>
      </c>
      <c r="B4" s="937"/>
      <c r="C4" s="937"/>
      <c r="D4" s="938"/>
      <c r="E4" s="939" t="e">
        <f>'라-2.자부담세출'!E4:E5</f>
        <v>#REF!</v>
      </c>
      <c r="F4" s="941" t="e">
        <f>'라-2.자부담세출'!F4:F5</f>
        <v>#REF!</v>
      </c>
      <c r="G4" s="956" t="s">
        <v>479</v>
      </c>
      <c r="H4" s="956"/>
      <c r="I4" s="944" t="s">
        <v>295</v>
      </c>
      <c r="J4" s="944"/>
      <c r="K4" s="944"/>
      <c r="L4" s="944"/>
      <c r="M4" s="944"/>
      <c r="N4" s="944"/>
      <c r="O4" s="944"/>
      <c r="P4" s="944"/>
      <c r="Q4" s="944"/>
      <c r="R4" s="945"/>
      <c r="S4" s="180"/>
      <c r="T4" s="181"/>
      <c r="U4" s="181"/>
      <c r="V4" s="181"/>
    </row>
    <row r="5" spans="1:36" s="182" customFormat="1" ht="24.75" customHeight="1">
      <c r="A5" s="70" t="s">
        <v>127</v>
      </c>
      <c r="B5" s="72" t="s">
        <v>110</v>
      </c>
      <c r="C5" s="72" t="s">
        <v>145</v>
      </c>
      <c r="D5" s="72" t="s">
        <v>118</v>
      </c>
      <c r="E5" s="940"/>
      <c r="F5" s="942"/>
      <c r="G5" s="183" t="s">
        <v>115</v>
      </c>
      <c r="H5" s="184" t="s">
        <v>447</v>
      </c>
      <c r="I5" s="946"/>
      <c r="J5" s="946"/>
      <c r="K5" s="946"/>
      <c r="L5" s="946"/>
      <c r="M5" s="946"/>
      <c r="N5" s="946"/>
      <c r="O5" s="946"/>
      <c r="P5" s="946"/>
      <c r="Q5" s="946"/>
      <c r="R5" s="947"/>
      <c r="S5" s="180"/>
      <c r="T5" s="181"/>
      <c r="U5" s="181"/>
      <c r="V5" s="181"/>
      <c r="AB5" s="185" t="e">
        <v>#REF!</v>
      </c>
      <c r="AJ5" s="185"/>
    </row>
    <row r="6" spans="1:36" s="182" customFormat="1" ht="21.75" customHeight="1">
      <c r="A6" s="957" t="s">
        <v>301</v>
      </c>
      <c r="B6" s="958"/>
      <c r="C6" s="958"/>
      <c r="D6" s="186"/>
      <c r="E6" s="79">
        <f>E7+E46+E51+E72</f>
        <v>7100000</v>
      </c>
      <c r="F6" s="79" t="e">
        <f>F7+F46+F51+F72</f>
        <v>#REF!</v>
      </c>
      <c r="G6" s="272" t="e">
        <f>G7+G46+G51+G72</f>
        <v>#REF!</v>
      </c>
      <c r="H6" s="273" t="e">
        <f>G6/E6*100</f>
        <v>#REF!</v>
      </c>
      <c r="I6" s="274" t="s">
        <v>141</v>
      </c>
      <c r="J6" s="275"/>
      <c r="K6" s="275"/>
      <c r="L6" s="275"/>
      <c r="M6" s="275"/>
      <c r="N6" s="275"/>
      <c r="O6" s="275"/>
      <c r="P6" s="275"/>
      <c r="Q6" s="275">
        <f>Q7+Q46+Q51+Q72+Q75</f>
        <v>15200000</v>
      </c>
      <c r="R6" s="84" t="s">
        <v>121</v>
      </c>
      <c r="S6" s="190"/>
      <c r="T6" s="181"/>
      <c r="U6" s="181"/>
      <c r="V6" s="181"/>
      <c r="W6" s="191"/>
      <c r="Z6" s="192"/>
      <c r="AB6" s="185"/>
      <c r="AD6" s="185"/>
    </row>
    <row r="7" spans="1:36" ht="21.75" customHeight="1">
      <c r="A7" s="193" t="s">
        <v>163</v>
      </c>
      <c r="B7" s="952" t="s">
        <v>114</v>
      </c>
      <c r="C7" s="953"/>
      <c r="D7" s="196"/>
      <c r="E7" s="90">
        <f>E8+E34+E39</f>
        <v>4000000</v>
      </c>
      <c r="F7" s="90" t="e">
        <f>F8+F34+F39</f>
        <v>#REF!</v>
      </c>
      <c r="G7" s="91" t="e">
        <f>G8+G34+G39</f>
        <v>#REF!</v>
      </c>
      <c r="H7" s="276" t="e">
        <f>G7/E7*100</f>
        <v>#REF!</v>
      </c>
      <c r="I7" s="277" t="s">
        <v>466</v>
      </c>
      <c r="J7" s="278"/>
      <c r="K7" s="278"/>
      <c r="L7" s="278"/>
      <c r="M7" s="278"/>
      <c r="N7" s="278"/>
      <c r="O7" s="278"/>
      <c r="P7" s="278"/>
      <c r="Q7" s="278">
        <f>Q8+Q34+Q39</f>
        <v>2808000</v>
      </c>
      <c r="R7" s="95" t="s">
        <v>121</v>
      </c>
      <c r="V7" s="202"/>
      <c r="W7" s="203"/>
    </row>
    <row r="8" spans="1:36" ht="21.75" customHeight="1">
      <c r="A8" s="204"/>
      <c r="B8" s="229" t="s">
        <v>155</v>
      </c>
      <c r="C8" s="196" t="s">
        <v>164</v>
      </c>
      <c r="D8" s="196"/>
      <c r="E8" s="101">
        <f>E9+E10+E11+E12+E26+E27+E33</f>
        <v>3000000</v>
      </c>
      <c r="F8" s="101" t="e">
        <f>F9+F10+F11+F12+F26+F27+F33</f>
        <v>#REF!</v>
      </c>
      <c r="G8" s="154" t="e">
        <f>F8-E8</f>
        <v>#REF!</v>
      </c>
      <c r="H8" s="276" t="e">
        <f t="shared" ref="H8:H51" si="0">G8/E8*100</f>
        <v>#REF!</v>
      </c>
      <c r="I8" s="277" t="s">
        <v>472</v>
      </c>
      <c r="J8" s="278"/>
      <c r="K8" s="278"/>
      <c r="L8" s="278"/>
      <c r="M8" s="278"/>
      <c r="N8" s="278"/>
      <c r="O8" s="278"/>
      <c r="P8" s="278"/>
      <c r="Q8" s="278">
        <f>Q9+Q10+Q11+Q12+Q26+Q27+Q33</f>
        <v>1000000</v>
      </c>
      <c r="R8" s="95" t="s">
        <v>121</v>
      </c>
      <c r="W8" s="203"/>
      <c r="Z8" s="206"/>
    </row>
    <row r="9" spans="1:36" ht="21.75" hidden="1" customHeight="1">
      <c r="A9" s="207"/>
      <c r="B9" s="208"/>
      <c r="C9" s="196" t="s">
        <v>113</v>
      </c>
      <c r="D9" s="196"/>
      <c r="E9" s="101">
        <v>0</v>
      </c>
      <c r="F9" s="101">
        <v>0</v>
      </c>
      <c r="G9" s="154">
        <f t="shared" ref="G9:G57" si="1">F9-E9</f>
        <v>0</v>
      </c>
      <c r="H9" s="276" t="e">
        <f t="shared" si="0"/>
        <v>#DIV/0!</v>
      </c>
      <c r="I9" s="279" t="s">
        <v>113</v>
      </c>
      <c r="J9" s="280"/>
      <c r="K9" s="281">
        <v>0</v>
      </c>
      <c r="L9" s="282" t="s">
        <v>123</v>
      </c>
      <c r="M9" s="283">
        <v>12</v>
      </c>
      <c r="N9" s="282" t="s">
        <v>123</v>
      </c>
      <c r="O9" s="284">
        <v>1</v>
      </c>
      <c r="P9" s="285" t="s">
        <v>153</v>
      </c>
      <c r="Q9" s="281">
        <f>K9*M9*O9</f>
        <v>0</v>
      </c>
      <c r="R9" s="111" t="s">
        <v>121</v>
      </c>
      <c r="V9" s="209"/>
      <c r="W9" s="203"/>
    </row>
    <row r="10" spans="1:36" ht="21.75" hidden="1" customHeight="1">
      <c r="A10" s="207"/>
      <c r="B10" s="210"/>
      <c r="C10" s="196" t="s">
        <v>107</v>
      </c>
      <c r="D10" s="196"/>
      <c r="E10" s="101">
        <v>0</v>
      </c>
      <c r="F10" s="101" t="e">
        <v>#REF!</v>
      </c>
      <c r="G10" s="154" t="e">
        <f t="shared" si="1"/>
        <v>#REF!</v>
      </c>
      <c r="H10" s="276" t="e">
        <f t="shared" si="0"/>
        <v>#REF!</v>
      </c>
      <c r="I10" s="279" t="s">
        <v>107</v>
      </c>
      <c r="J10" s="280"/>
      <c r="K10" s="280"/>
      <c r="L10" s="280"/>
      <c r="M10" s="280"/>
      <c r="N10" s="280"/>
      <c r="O10" s="280"/>
      <c r="P10" s="280"/>
      <c r="Q10" s="280"/>
      <c r="R10" s="111" t="s">
        <v>121</v>
      </c>
      <c r="V10" s="211"/>
      <c r="W10" s="203"/>
    </row>
    <row r="11" spans="1:36" ht="21.75" customHeight="1">
      <c r="A11" s="207"/>
      <c r="B11" s="210"/>
      <c r="C11" s="196" t="s">
        <v>411</v>
      </c>
      <c r="D11" s="196"/>
      <c r="E11" s="101">
        <v>3000000</v>
      </c>
      <c r="F11" s="101">
        <f>Q11</f>
        <v>1000000</v>
      </c>
      <c r="G11" s="154">
        <f t="shared" si="1"/>
        <v>-2000000</v>
      </c>
      <c r="H11" s="276">
        <f t="shared" si="0"/>
        <v>-66.666666666666657</v>
      </c>
      <c r="I11" s="279" t="s">
        <v>411</v>
      </c>
      <c r="J11" s="280"/>
      <c r="K11" s="281">
        <v>1000000</v>
      </c>
      <c r="L11" s="282" t="s">
        <v>123</v>
      </c>
      <c r="M11" s="283">
        <v>1</v>
      </c>
      <c r="N11" s="282" t="s">
        <v>123</v>
      </c>
      <c r="O11" s="284">
        <v>1</v>
      </c>
      <c r="P11" s="285" t="s">
        <v>153</v>
      </c>
      <c r="Q11" s="281">
        <f>K11*M11*O11</f>
        <v>1000000</v>
      </c>
      <c r="R11" s="111" t="s">
        <v>121</v>
      </c>
      <c r="V11" s="212"/>
      <c r="W11" s="203"/>
    </row>
    <row r="12" spans="1:36" ht="21.75" hidden="1" customHeight="1">
      <c r="A12" s="207"/>
      <c r="B12" s="210"/>
      <c r="C12" s="196" t="s">
        <v>130</v>
      </c>
      <c r="D12" s="196" t="s">
        <v>164</v>
      </c>
      <c r="E12" s="101">
        <v>0</v>
      </c>
      <c r="F12" s="101" t="e">
        <f>SUM(F13:F25)</f>
        <v>#REF!</v>
      </c>
      <c r="G12" s="154" t="e">
        <f t="shared" si="1"/>
        <v>#REF!</v>
      </c>
      <c r="H12" s="276" t="e">
        <f t="shared" si="0"/>
        <v>#REF!</v>
      </c>
      <c r="I12" s="279" t="s">
        <v>130</v>
      </c>
      <c r="J12" s="280"/>
      <c r="K12" s="281">
        <v>0</v>
      </c>
      <c r="L12" s="282" t="s">
        <v>123</v>
      </c>
      <c r="M12" s="286">
        <v>0.6</v>
      </c>
      <c r="N12" s="282" t="s">
        <v>123</v>
      </c>
      <c r="O12" s="287">
        <v>2</v>
      </c>
      <c r="P12" s="285" t="s">
        <v>153</v>
      </c>
      <c r="Q12" s="281">
        <f>K12*M12*O12</f>
        <v>0</v>
      </c>
      <c r="R12" s="111" t="s">
        <v>121</v>
      </c>
      <c r="V12" s="214"/>
      <c r="W12" s="203"/>
    </row>
    <row r="13" spans="1:36" ht="15.75" hidden="1" customHeight="1">
      <c r="A13" s="207"/>
      <c r="B13" s="210"/>
      <c r="C13" s="208"/>
      <c r="D13" s="196" t="s">
        <v>505</v>
      </c>
      <c r="E13" s="101">
        <v>0</v>
      </c>
      <c r="F13" s="101" t="e">
        <v>#REF!</v>
      </c>
      <c r="G13" s="154" t="e">
        <f t="shared" si="1"/>
        <v>#REF!</v>
      </c>
      <c r="H13" s="276" t="e">
        <f t="shared" si="0"/>
        <v>#REF!</v>
      </c>
      <c r="I13" s="279"/>
      <c r="J13" s="280"/>
      <c r="K13" s="280"/>
      <c r="L13" s="280"/>
      <c r="M13" s="280"/>
      <c r="N13" s="280"/>
      <c r="O13" s="280"/>
      <c r="P13" s="280"/>
      <c r="Q13" s="280"/>
      <c r="R13" s="111" t="s">
        <v>121</v>
      </c>
    </row>
    <row r="14" spans="1:36" ht="24" hidden="1" customHeight="1">
      <c r="A14" s="207"/>
      <c r="B14" s="210"/>
      <c r="C14" s="210"/>
      <c r="D14" s="196" t="s">
        <v>508</v>
      </c>
      <c r="E14" s="101">
        <v>0</v>
      </c>
      <c r="F14" s="101" t="e">
        <v>#REF!</v>
      </c>
      <c r="G14" s="154" t="e">
        <f t="shared" si="1"/>
        <v>#REF!</v>
      </c>
      <c r="H14" s="276" t="e">
        <f t="shared" si="0"/>
        <v>#REF!</v>
      </c>
      <c r="I14" s="279"/>
      <c r="J14" s="280"/>
      <c r="K14" s="280"/>
      <c r="L14" s="280"/>
      <c r="M14" s="280"/>
      <c r="N14" s="280"/>
      <c r="O14" s="280"/>
      <c r="P14" s="280"/>
      <c r="Q14" s="280"/>
      <c r="R14" s="111" t="s">
        <v>121</v>
      </c>
    </row>
    <row r="15" spans="1:36" ht="21" hidden="1" customHeight="1">
      <c r="A15" s="207"/>
      <c r="B15" s="210"/>
      <c r="C15" s="288"/>
      <c r="D15" s="229" t="s">
        <v>422</v>
      </c>
      <c r="E15" s="101">
        <v>0</v>
      </c>
      <c r="F15" s="101" t="e">
        <v>#REF!</v>
      </c>
      <c r="G15" s="154" t="e">
        <f t="shared" si="1"/>
        <v>#REF!</v>
      </c>
      <c r="H15" s="276" t="e">
        <f t="shared" si="0"/>
        <v>#REF!</v>
      </c>
      <c r="I15" s="279"/>
      <c r="J15" s="280"/>
      <c r="K15" s="280"/>
      <c r="L15" s="280"/>
      <c r="M15" s="280"/>
      <c r="N15" s="280"/>
      <c r="O15" s="280"/>
      <c r="P15" s="280"/>
      <c r="Q15" s="280"/>
      <c r="R15" s="111" t="s">
        <v>121</v>
      </c>
    </row>
    <row r="16" spans="1:36" ht="15.75" hidden="1" customHeight="1">
      <c r="A16" s="207"/>
      <c r="B16" s="210"/>
      <c r="C16" s="288"/>
      <c r="D16" s="196" t="s">
        <v>498</v>
      </c>
      <c r="E16" s="101">
        <v>0</v>
      </c>
      <c r="F16" s="101">
        <v>0</v>
      </c>
      <c r="G16" s="154">
        <f t="shared" si="1"/>
        <v>0</v>
      </c>
      <c r="H16" s="276" t="e">
        <f t="shared" si="0"/>
        <v>#DIV/0!</v>
      </c>
      <c r="I16" s="279"/>
      <c r="J16" s="280"/>
      <c r="K16" s="280"/>
      <c r="L16" s="280"/>
      <c r="M16" s="280"/>
      <c r="N16" s="280"/>
      <c r="O16" s="280"/>
      <c r="P16" s="280"/>
      <c r="Q16" s="280"/>
      <c r="R16" s="111" t="s">
        <v>121</v>
      </c>
    </row>
    <row r="17" spans="1:26" ht="15.75" hidden="1" customHeight="1">
      <c r="A17" s="207"/>
      <c r="B17" s="210"/>
      <c r="C17" s="288"/>
      <c r="D17" s="196" t="s">
        <v>471</v>
      </c>
      <c r="E17" s="101">
        <v>0</v>
      </c>
      <c r="F17" s="101" t="e">
        <v>#REF!</v>
      </c>
      <c r="G17" s="154" t="e">
        <f t="shared" si="1"/>
        <v>#REF!</v>
      </c>
      <c r="H17" s="276" t="e">
        <f t="shared" si="0"/>
        <v>#REF!</v>
      </c>
      <c r="I17" s="279"/>
      <c r="J17" s="280"/>
      <c r="K17" s="280"/>
      <c r="L17" s="280"/>
      <c r="M17" s="280"/>
      <c r="N17" s="280"/>
      <c r="O17" s="280"/>
      <c r="P17" s="280"/>
      <c r="Q17" s="280"/>
      <c r="R17" s="111" t="s">
        <v>121</v>
      </c>
    </row>
    <row r="18" spans="1:26" ht="15.75" hidden="1" customHeight="1">
      <c r="A18" s="207"/>
      <c r="B18" s="210"/>
      <c r="C18" s="288"/>
      <c r="D18" s="196" t="s">
        <v>502</v>
      </c>
      <c r="E18" s="101">
        <v>0</v>
      </c>
      <c r="F18" s="101">
        <v>0</v>
      </c>
      <c r="G18" s="154">
        <f t="shared" si="1"/>
        <v>0</v>
      </c>
      <c r="H18" s="276" t="e">
        <f t="shared" si="0"/>
        <v>#DIV/0!</v>
      </c>
      <c r="I18" s="279"/>
      <c r="J18" s="280"/>
      <c r="K18" s="280"/>
      <c r="L18" s="280"/>
      <c r="M18" s="280"/>
      <c r="N18" s="280"/>
      <c r="O18" s="280"/>
      <c r="P18" s="280"/>
      <c r="Q18" s="280"/>
      <c r="R18" s="111" t="s">
        <v>121</v>
      </c>
    </row>
    <row r="19" spans="1:26" ht="22.5" hidden="1" customHeight="1">
      <c r="A19" s="207"/>
      <c r="B19" s="210"/>
      <c r="C19" s="288"/>
      <c r="D19" s="229" t="s">
        <v>450</v>
      </c>
      <c r="E19" s="101">
        <v>0</v>
      </c>
      <c r="F19" s="101" t="e">
        <v>#REF!</v>
      </c>
      <c r="G19" s="154" t="e">
        <f t="shared" si="1"/>
        <v>#REF!</v>
      </c>
      <c r="H19" s="276" t="e">
        <f t="shared" si="0"/>
        <v>#REF!</v>
      </c>
      <c r="I19" s="279"/>
      <c r="J19" s="280"/>
      <c r="K19" s="280"/>
      <c r="L19" s="280"/>
      <c r="M19" s="280"/>
      <c r="N19" s="280"/>
      <c r="O19" s="280"/>
      <c r="P19" s="280"/>
      <c r="Q19" s="280"/>
      <c r="R19" s="111" t="s">
        <v>121</v>
      </c>
    </row>
    <row r="20" spans="1:26" ht="15.75" hidden="1" customHeight="1">
      <c r="A20" s="207"/>
      <c r="B20" s="210"/>
      <c r="C20" s="288"/>
      <c r="D20" s="229" t="s">
        <v>427</v>
      </c>
      <c r="E20" s="101">
        <v>0</v>
      </c>
      <c r="F20" s="101" t="e">
        <v>#REF!</v>
      </c>
      <c r="G20" s="154" t="e">
        <f t="shared" si="1"/>
        <v>#REF!</v>
      </c>
      <c r="H20" s="276" t="e">
        <f t="shared" si="0"/>
        <v>#REF!</v>
      </c>
      <c r="I20" s="279"/>
      <c r="J20" s="280"/>
      <c r="K20" s="280"/>
      <c r="L20" s="280"/>
      <c r="M20" s="280"/>
      <c r="N20" s="280"/>
      <c r="O20" s="280"/>
      <c r="P20" s="280"/>
      <c r="Q20" s="280"/>
      <c r="R20" s="111" t="s">
        <v>121</v>
      </c>
    </row>
    <row r="21" spans="1:26" ht="15.75" hidden="1" customHeight="1">
      <c r="A21" s="207"/>
      <c r="B21" s="210"/>
      <c r="C21" s="288"/>
      <c r="D21" s="229" t="s">
        <v>443</v>
      </c>
      <c r="E21" s="101">
        <v>0</v>
      </c>
      <c r="F21" s="101" t="e">
        <v>#REF!</v>
      </c>
      <c r="G21" s="154" t="e">
        <f t="shared" si="1"/>
        <v>#REF!</v>
      </c>
      <c r="H21" s="276" t="e">
        <f t="shared" si="0"/>
        <v>#REF!</v>
      </c>
      <c r="I21" s="289" t="s">
        <v>195</v>
      </c>
      <c r="J21" s="290"/>
      <c r="K21" s="290"/>
      <c r="L21" s="290"/>
      <c r="M21" s="290"/>
      <c r="N21" s="290"/>
      <c r="O21" s="290"/>
      <c r="P21" s="290"/>
      <c r="Q21" s="290"/>
      <c r="R21" s="111" t="s">
        <v>121</v>
      </c>
      <c r="Z21" s="206"/>
    </row>
    <row r="22" spans="1:26" ht="15.75" hidden="1" customHeight="1">
      <c r="A22" s="207"/>
      <c r="B22" s="210"/>
      <c r="C22" s="288"/>
      <c r="D22" s="229" t="s">
        <v>499</v>
      </c>
      <c r="E22" s="101">
        <v>0</v>
      </c>
      <c r="F22" s="101">
        <v>0</v>
      </c>
      <c r="G22" s="154">
        <f t="shared" si="1"/>
        <v>0</v>
      </c>
      <c r="H22" s="276" t="e">
        <f t="shared" si="0"/>
        <v>#DIV/0!</v>
      </c>
      <c r="I22" s="279"/>
      <c r="J22" s="280"/>
      <c r="K22" s="280"/>
      <c r="L22" s="280"/>
      <c r="M22" s="280"/>
      <c r="N22" s="280"/>
      <c r="O22" s="280"/>
      <c r="P22" s="280"/>
      <c r="Q22" s="280"/>
      <c r="R22" s="111" t="s">
        <v>121</v>
      </c>
    </row>
    <row r="23" spans="1:26" ht="21" hidden="1" customHeight="1">
      <c r="A23" s="207"/>
      <c r="B23" s="210"/>
      <c r="C23" s="288"/>
      <c r="D23" s="229" t="s">
        <v>289</v>
      </c>
      <c r="E23" s="101">
        <v>0</v>
      </c>
      <c r="F23" s="101" t="e">
        <v>#REF!</v>
      </c>
      <c r="G23" s="154" t="e">
        <f t="shared" si="1"/>
        <v>#REF!</v>
      </c>
      <c r="H23" s="276" t="e">
        <f t="shared" si="0"/>
        <v>#REF!</v>
      </c>
      <c r="I23" s="279"/>
      <c r="J23" s="280"/>
      <c r="K23" s="280"/>
      <c r="L23" s="280"/>
      <c r="M23" s="280"/>
      <c r="N23" s="280"/>
      <c r="O23" s="280"/>
      <c r="P23" s="280"/>
      <c r="Q23" s="280"/>
      <c r="R23" s="111" t="s">
        <v>121</v>
      </c>
    </row>
    <row r="24" spans="1:26" ht="15.75" hidden="1" customHeight="1">
      <c r="A24" s="207"/>
      <c r="B24" s="210"/>
      <c r="C24" s="288"/>
      <c r="D24" s="229" t="s">
        <v>319</v>
      </c>
      <c r="E24" s="101">
        <v>0</v>
      </c>
      <c r="F24" s="101">
        <v>0</v>
      </c>
      <c r="G24" s="154">
        <f t="shared" si="1"/>
        <v>0</v>
      </c>
      <c r="H24" s="276" t="e">
        <f t="shared" si="0"/>
        <v>#DIV/0!</v>
      </c>
      <c r="I24" s="279"/>
      <c r="J24" s="280"/>
      <c r="K24" s="280"/>
      <c r="L24" s="280"/>
      <c r="M24" s="280"/>
      <c r="N24" s="280"/>
      <c r="O24" s="280"/>
      <c r="P24" s="280"/>
      <c r="Q24" s="280"/>
      <c r="R24" s="111" t="s">
        <v>121</v>
      </c>
    </row>
    <row r="25" spans="1:26" ht="15.75" hidden="1" customHeight="1">
      <c r="A25" s="207"/>
      <c r="B25" s="210"/>
      <c r="C25" s="261"/>
      <c r="D25" s="229" t="s">
        <v>487</v>
      </c>
      <c r="E25" s="101"/>
      <c r="F25" s="101"/>
      <c r="G25" s="154">
        <f t="shared" si="1"/>
        <v>0</v>
      </c>
      <c r="H25" s="276" t="e">
        <f t="shared" si="0"/>
        <v>#DIV/0!</v>
      </c>
      <c r="I25" s="279"/>
      <c r="J25" s="280"/>
      <c r="K25" s="280"/>
      <c r="L25" s="280"/>
      <c r="M25" s="280"/>
      <c r="N25" s="280"/>
      <c r="O25" s="280"/>
      <c r="P25" s="280"/>
      <c r="Q25" s="280"/>
      <c r="R25" s="111" t="s">
        <v>121</v>
      </c>
    </row>
    <row r="26" spans="1:26" ht="22.5" hidden="1" customHeight="1">
      <c r="A26" s="207"/>
      <c r="B26" s="210"/>
      <c r="C26" s="229" t="s">
        <v>283</v>
      </c>
      <c r="D26" s="229"/>
      <c r="E26" s="101">
        <v>0</v>
      </c>
      <c r="F26" s="101">
        <v>0</v>
      </c>
      <c r="G26" s="154">
        <f t="shared" si="1"/>
        <v>0</v>
      </c>
      <c r="H26" s="276" t="e">
        <f t="shared" si="0"/>
        <v>#DIV/0!</v>
      </c>
      <c r="I26" s="279" t="s">
        <v>213</v>
      </c>
      <c r="J26" s="280"/>
      <c r="K26" s="281">
        <v>0</v>
      </c>
      <c r="L26" s="282" t="s">
        <v>123</v>
      </c>
      <c r="M26" s="287">
        <v>0.5</v>
      </c>
      <c r="N26" s="282"/>
      <c r="O26" s="287"/>
      <c r="P26" s="285" t="s">
        <v>153</v>
      </c>
      <c r="Q26" s="281">
        <f>K26*M26*O26</f>
        <v>0</v>
      </c>
      <c r="R26" s="111" t="s">
        <v>121</v>
      </c>
    </row>
    <row r="27" spans="1:26" ht="22.5" hidden="1" customHeight="1">
      <c r="A27" s="207"/>
      <c r="B27" s="210"/>
      <c r="C27" s="229" t="s">
        <v>287</v>
      </c>
      <c r="D27" s="229" t="s">
        <v>164</v>
      </c>
      <c r="E27" s="101">
        <v>0</v>
      </c>
      <c r="F27" s="101" t="e">
        <f>SUM(F28:F32)</f>
        <v>#REF!</v>
      </c>
      <c r="G27" s="154" t="e">
        <f t="shared" si="1"/>
        <v>#REF!</v>
      </c>
      <c r="H27" s="276" t="e">
        <f t="shared" si="0"/>
        <v>#REF!</v>
      </c>
      <c r="I27" s="965" t="s">
        <v>199</v>
      </c>
      <c r="J27" s="966"/>
      <c r="K27" s="280"/>
      <c r="L27" s="280"/>
      <c r="M27" s="280"/>
      <c r="N27" s="280"/>
      <c r="O27" s="280"/>
      <c r="P27" s="280"/>
      <c r="Q27" s="280">
        <f>SUM(Q28:Q32)</f>
        <v>0</v>
      </c>
      <c r="R27" s="111" t="s">
        <v>121</v>
      </c>
    </row>
    <row r="28" spans="1:26" ht="31.5" hidden="1" customHeight="1">
      <c r="A28" s="207"/>
      <c r="B28" s="210"/>
      <c r="C28" s="291"/>
      <c r="D28" s="291" t="s">
        <v>293</v>
      </c>
      <c r="E28" s="128">
        <v>0</v>
      </c>
      <c r="F28" s="128">
        <f>U28</f>
        <v>0</v>
      </c>
      <c r="G28" s="154">
        <f t="shared" si="1"/>
        <v>0</v>
      </c>
      <c r="H28" s="276" t="e">
        <f t="shared" si="0"/>
        <v>#DIV/0!</v>
      </c>
      <c r="I28" s="292" t="s">
        <v>483</v>
      </c>
      <c r="J28" s="293"/>
      <c r="K28" s="293">
        <v>0</v>
      </c>
      <c r="L28" s="294" t="s">
        <v>123</v>
      </c>
      <c r="M28" s="295">
        <v>6.6699999999999995E-2</v>
      </c>
      <c r="N28" s="294" t="s">
        <v>123</v>
      </c>
      <c r="O28" s="296">
        <v>0.5</v>
      </c>
      <c r="P28" s="297" t="s">
        <v>153</v>
      </c>
      <c r="Q28" s="281">
        <f>K28*M28*O28</f>
        <v>0</v>
      </c>
      <c r="R28" s="136" t="s">
        <v>121</v>
      </c>
      <c r="S28" s="97"/>
      <c r="T28" s="97"/>
    </row>
    <row r="29" spans="1:26" ht="22.5" hidden="1" customHeight="1">
      <c r="A29" s="207"/>
      <c r="B29" s="210"/>
      <c r="C29" s="288"/>
      <c r="D29" s="291"/>
      <c r="E29" s="128"/>
      <c r="F29" s="128"/>
      <c r="G29" s="154"/>
      <c r="H29" s="276" t="e">
        <f t="shared" si="0"/>
        <v>#DIV/0!</v>
      </c>
      <c r="I29" s="292" t="s">
        <v>465</v>
      </c>
      <c r="J29" s="293"/>
      <c r="K29" s="293">
        <f>Q28</f>
        <v>0</v>
      </c>
      <c r="L29" s="294" t="s">
        <v>123</v>
      </c>
      <c r="M29" s="295">
        <v>0.10249999999999999</v>
      </c>
      <c r="N29" s="294"/>
      <c r="O29" s="296"/>
      <c r="P29" s="297" t="s">
        <v>153</v>
      </c>
      <c r="Q29" s="281">
        <f>K29*M29*O29</f>
        <v>0</v>
      </c>
      <c r="R29" s="136" t="s">
        <v>121</v>
      </c>
      <c r="S29" s="97"/>
      <c r="T29" s="97"/>
    </row>
    <row r="30" spans="1:26" ht="22.5" hidden="1" customHeight="1">
      <c r="A30" s="207"/>
      <c r="B30" s="210"/>
      <c r="C30" s="288"/>
      <c r="D30" s="229" t="s">
        <v>484</v>
      </c>
      <c r="E30" s="101">
        <v>0</v>
      </c>
      <c r="F30" s="101" t="e">
        <v>#REF!</v>
      </c>
      <c r="G30" s="154" t="e">
        <f t="shared" si="1"/>
        <v>#REF!</v>
      </c>
      <c r="H30" s="276" t="e">
        <f t="shared" si="0"/>
        <v>#REF!</v>
      </c>
      <c r="I30" s="298" t="s">
        <v>438</v>
      </c>
      <c r="J30" s="299"/>
      <c r="K30" s="299">
        <f>K28</f>
        <v>0</v>
      </c>
      <c r="L30" s="294" t="s">
        <v>123</v>
      </c>
      <c r="M30" s="295">
        <v>0.09</v>
      </c>
      <c r="N30" s="294" t="s">
        <v>123</v>
      </c>
      <c r="O30" s="296">
        <v>0.5</v>
      </c>
      <c r="P30" s="297" t="s">
        <v>153</v>
      </c>
      <c r="Q30" s="281">
        <f>K30*M30*O30</f>
        <v>0</v>
      </c>
      <c r="R30" s="136" t="s">
        <v>121</v>
      </c>
      <c r="S30" s="97"/>
    </row>
    <row r="31" spans="1:26" ht="22.5" hidden="1" customHeight="1">
      <c r="A31" s="207"/>
      <c r="B31" s="210"/>
      <c r="C31" s="288"/>
      <c r="D31" s="229" t="s">
        <v>294</v>
      </c>
      <c r="E31" s="101">
        <v>0</v>
      </c>
      <c r="F31" s="101">
        <f>T30</f>
        <v>0</v>
      </c>
      <c r="G31" s="154">
        <f t="shared" si="1"/>
        <v>0</v>
      </c>
      <c r="H31" s="276" t="e">
        <f t="shared" si="0"/>
        <v>#DIV/0!</v>
      </c>
      <c r="I31" s="292" t="s">
        <v>452</v>
      </c>
      <c r="J31" s="300"/>
      <c r="K31" s="300">
        <f>K30</f>
        <v>0</v>
      </c>
      <c r="L31" s="294" t="s">
        <v>123</v>
      </c>
      <c r="M31" s="295">
        <v>1.0500000000000001E-2</v>
      </c>
      <c r="N31" s="294"/>
      <c r="O31" s="296"/>
      <c r="P31" s="297" t="s">
        <v>153</v>
      </c>
      <c r="Q31" s="281">
        <f>K31*M31*O31</f>
        <v>0</v>
      </c>
      <c r="R31" s="136" t="s">
        <v>121</v>
      </c>
      <c r="S31" s="97"/>
      <c r="T31" s="97"/>
    </row>
    <row r="32" spans="1:26" ht="25.5" hidden="1" customHeight="1">
      <c r="A32" s="207"/>
      <c r="B32" s="210"/>
      <c r="C32" s="218"/>
      <c r="D32" s="229" t="s">
        <v>292</v>
      </c>
      <c r="E32" s="101">
        <v>0</v>
      </c>
      <c r="F32" s="101">
        <f>T31</f>
        <v>0</v>
      </c>
      <c r="G32" s="154">
        <f t="shared" si="1"/>
        <v>0</v>
      </c>
      <c r="H32" s="276" t="e">
        <f t="shared" si="0"/>
        <v>#DIV/0!</v>
      </c>
      <c r="I32" s="292" t="s">
        <v>467</v>
      </c>
      <c r="J32" s="300"/>
      <c r="K32" s="300">
        <f>K31</f>
        <v>0</v>
      </c>
      <c r="L32" s="294" t="s">
        <v>123</v>
      </c>
      <c r="M32" s="301">
        <v>7.9299999999999995E-3</v>
      </c>
      <c r="N32" s="294"/>
      <c r="O32" s="296"/>
      <c r="P32" s="297" t="s">
        <v>153</v>
      </c>
      <c r="Q32" s="281">
        <f>K32*M32*O32</f>
        <v>0</v>
      </c>
      <c r="R32" s="136" t="s">
        <v>121</v>
      </c>
      <c r="S32" s="97"/>
      <c r="T32" s="97"/>
    </row>
    <row r="33" spans="1:30" ht="22.5" hidden="1" customHeight="1">
      <c r="A33" s="207"/>
      <c r="B33" s="218"/>
      <c r="C33" s="196" t="s">
        <v>446</v>
      </c>
      <c r="D33" s="196"/>
      <c r="E33" s="101">
        <v>0</v>
      </c>
      <c r="F33" s="101">
        <v>0</v>
      </c>
      <c r="G33" s="154">
        <f t="shared" si="1"/>
        <v>0</v>
      </c>
      <c r="H33" s="276" t="e">
        <f t="shared" si="0"/>
        <v>#DIV/0!</v>
      </c>
      <c r="I33" s="965" t="s">
        <v>513</v>
      </c>
      <c r="J33" s="966"/>
      <c r="K33" s="966"/>
      <c r="L33" s="966"/>
      <c r="M33" s="966"/>
      <c r="N33" s="966"/>
      <c r="O33" s="105"/>
      <c r="P33" s="105"/>
      <c r="Q33" s="105">
        <v>0</v>
      </c>
      <c r="R33" s="111" t="s">
        <v>121</v>
      </c>
      <c r="T33" s="228"/>
      <c r="U33" s="202"/>
      <c r="W33" s="203"/>
      <c r="AD33" s="206"/>
    </row>
    <row r="34" spans="1:30" ht="15.75" hidden="1" customHeight="1">
      <c r="A34" s="207"/>
      <c r="B34" s="196" t="s">
        <v>433</v>
      </c>
      <c r="C34" s="196" t="s">
        <v>164</v>
      </c>
      <c r="D34" s="196"/>
      <c r="E34" s="90">
        <v>0</v>
      </c>
      <c r="F34" s="90">
        <f>SUM(F35:F38)</f>
        <v>0</v>
      </c>
      <c r="G34" s="154">
        <f t="shared" si="1"/>
        <v>0</v>
      </c>
      <c r="H34" s="276" t="e">
        <f t="shared" si="0"/>
        <v>#DIV/0!</v>
      </c>
      <c r="I34" s="279" t="s">
        <v>203</v>
      </c>
      <c r="J34" s="280"/>
      <c r="K34" s="280"/>
      <c r="L34" s="280"/>
      <c r="M34" s="280"/>
      <c r="N34" s="280"/>
      <c r="O34" s="280"/>
      <c r="P34" s="280"/>
      <c r="Q34" s="280">
        <f>SUM(Q35:Q38)</f>
        <v>0</v>
      </c>
      <c r="R34" s="111" t="s">
        <v>121</v>
      </c>
      <c r="T34" s="228"/>
      <c r="U34" s="202"/>
      <c r="W34" s="203"/>
    </row>
    <row r="35" spans="1:30" ht="15.75" hidden="1" customHeight="1">
      <c r="A35" s="207"/>
      <c r="B35" s="291"/>
      <c r="C35" s="196" t="s">
        <v>461</v>
      </c>
      <c r="D35" s="196"/>
      <c r="E35" s="101">
        <v>0</v>
      </c>
      <c r="F35" s="101">
        <v>0</v>
      </c>
      <c r="G35" s="154">
        <f t="shared" si="1"/>
        <v>0</v>
      </c>
      <c r="H35" s="276" t="e">
        <f t="shared" si="0"/>
        <v>#DIV/0!</v>
      </c>
      <c r="I35" s="965" t="s">
        <v>207</v>
      </c>
      <c r="J35" s="966"/>
      <c r="K35" s="280">
        <v>0</v>
      </c>
      <c r="L35" s="282" t="s">
        <v>123</v>
      </c>
      <c r="M35" s="283">
        <v>12</v>
      </c>
      <c r="N35" s="282"/>
      <c r="O35" s="280"/>
      <c r="P35" s="285" t="s">
        <v>153</v>
      </c>
      <c r="Q35" s="280">
        <f>K35*M35</f>
        <v>0</v>
      </c>
      <c r="R35" s="111" t="s">
        <v>121</v>
      </c>
      <c r="T35" s="228"/>
      <c r="U35" s="202"/>
      <c r="V35" s="212"/>
      <c r="W35" s="203"/>
    </row>
    <row r="36" spans="1:30" ht="24" hidden="1" customHeight="1">
      <c r="A36" s="207"/>
      <c r="B36" s="210"/>
      <c r="C36" s="196" t="s">
        <v>443</v>
      </c>
      <c r="D36" s="196"/>
      <c r="E36" s="101">
        <v>0</v>
      </c>
      <c r="F36" s="101">
        <v>0</v>
      </c>
      <c r="G36" s="154">
        <f t="shared" si="1"/>
        <v>0</v>
      </c>
      <c r="H36" s="276" t="e">
        <f t="shared" si="0"/>
        <v>#DIV/0!</v>
      </c>
      <c r="I36" s="279" t="s">
        <v>443</v>
      </c>
      <c r="J36" s="105"/>
      <c r="K36" s="280">
        <v>0</v>
      </c>
      <c r="L36" s="282" t="s">
        <v>123</v>
      </c>
      <c r="M36" s="283">
        <v>12</v>
      </c>
      <c r="N36" s="282"/>
      <c r="O36" s="280"/>
      <c r="P36" s="285" t="s">
        <v>153</v>
      </c>
      <c r="Q36" s="280">
        <f>K36*M36</f>
        <v>0</v>
      </c>
      <c r="R36" s="111" t="s">
        <v>121</v>
      </c>
      <c r="W36" s="203"/>
    </row>
    <row r="37" spans="1:30" ht="24" hidden="1" customHeight="1">
      <c r="A37" s="207"/>
      <c r="B37" s="210"/>
      <c r="C37" s="196" t="s">
        <v>166</v>
      </c>
      <c r="D37" s="196"/>
      <c r="E37" s="101">
        <v>0</v>
      </c>
      <c r="F37" s="101">
        <v>0</v>
      </c>
      <c r="G37" s="154">
        <f t="shared" si="1"/>
        <v>0</v>
      </c>
      <c r="H37" s="276" t="e">
        <f t="shared" si="0"/>
        <v>#DIV/0!</v>
      </c>
      <c r="I37" s="279"/>
      <c r="J37" s="280"/>
      <c r="K37" s="280"/>
      <c r="L37" s="280"/>
      <c r="M37" s="280"/>
      <c r="N37" s="280"/>
      <c r="O37" s="280"/>
      <c r="P37" s="280"/>
      <c r="Q37" s="280"/>
      <c r="R37" s="111" t="s">
        <v>121</v>
      </c>
      <c r="T37" s="228"/>
      <c r="U37" s="202"/>
      <c r="W37" s="203"/>
    </row>
    <row r="38" spans="1:30" ht="26.25" hidden="1" customHeight="1">
      <c r="A38" s="207"/>
      <c r="B38" s="218"/>
      <c r="C38" s="196" t="s">
        <v>172</v>
      </c>
      <c r="D38" s="196"/>
      <c r="E38" s="101">
        <v>0</v>
      </c>
      <c r="F38" s="101">
        <v>0</v>
      </c>
      <c r="G38" s="154">
        <f t="shared" si="1"/>
        <v>0</v>
      </c>
      <c r="H38" s="276" t="e">
        <f t="shared" si="0"/>
        <v>#DIV/0!</v>
      </c>
      <c r="I38" s="279" t="s">
        <v>172</v>
      </c>
      <c r="J38" s="280"/>
      <c r="K38" s="280">
        <v>0</v>
      </c>
      <c r="L38" s="282" t="s">
        <v>123</v>
      </c>
      <c r="M38" s="283">
        <v>12</v>
      </c>
      <c r="N38" s="282"/>
      <c r="O38" s="280"/>
      <c r="P38" s="285" t="s">
        <v>153</v>
      </c>
      <c r="Q38" s="280">
        <f>K38*M38</f>
        <v>0</v>
      </c>
      <c r="R38" s="111" t="s">
        <v>121</v>
      </c>
      <c r="T38" s="228"/>
      <c r="U38" s="202"/>
      <c r="V38" s="212"/>
      <c r="W38" s="203"/>
    </row>
    <row r="39" spans="1:30" ht="27.75" customHeight="1">
      <c r="A39" s="207"/>
      <c r="B39" s="196" t="s">
        <v>162</v>
      </c>
      <c r="C39" s="196" t="s">
        <v>164</v>
      </c>
      <c r="D39" s="196"/>
      <c r="E39" s="101">
        <f>E40+E41+E42+E43+E44+E45</f>
        <v>1000000</v>
      </c>
      <c r="F39" s="101">
        <f>SUM(F40,F41,F42:F45)</f>
        <v>1808000</v>
      </c>
      <c r="G39" s="154">
        <f t="shared" si="1"/>
        <v>808000</v>
      </c>
      <c r="H39" s="276">
        <f t="shared" si="0"/>
        <v>80.800000000000011</v>
      </c>
      <c r="I39" s="277" t="s">
        <v>470</v>
      </c>
      <c r="J39" s="278"/>
      <c r="K39" s="278"/>
      <c r="L39" s="278"/>
      <c r="M39" s="278"/>
      <c r="N39" s="278"/>
      <c r="O39" s="278"/>
      <c r="P39" s="278"/>
      <c r="Q39" s="278">
        <f>SUM(Q40:Q45)</f>
        <v>1808000</v>
      </c>
      <c r="R39" s="95" t="s">
        <v>121</v>
      </c>
      <c r="T39" s="228"/>
      <c r="U39" s="202"/>
      <c r="W39" s="203"/>
    </row>
    <row r="40" spans="1:30" ht="30.75" customHeight="1">
      <c r="A40" s="207"/>
      <c r="B40" s="208"/>
      <c r="C40" s="196" t="s">
        <v>147</v>
      </c>
      <c r="D40" s="196"/>
      <c r="E40" s="101">
        <v>0</v>
      </c>
      <c r="F40" s="101">
        <f>Q40</f>
        <v>0</v>
      </c>
      <c r="G40" s="154">
        <f t="shared" si="1"/>
        <v>0</v>
      </c>
      <c r="H40" s="276">
        <v>0</v>
      </c>
      <c r="I40" s="279" t="s">
        <v>147</v>
      </c>
      <c r="J40" s="280"/>
      <c r="K40" s="280"/>
      <c r="L40" s="280"/>
      <c r="M40" s="280"/>
      <c r="N40" s="280"/>
      <c r="O40" s="280"/>
      <c r="P40" s="280"/>
      <c r="Q40" s="280">
        <v>0</v>
      </c>
      <c r="R40" s="111" t="s">
        <v>121</v>
      </c>
      <c r="T40" s="228"/>
      <c r="U40" s="202"/>
      <c r="W40" s="203"/>
    </row>
    <row r="41" spans="1:30" ht="28.5" customHeight="1">
      <c r="A41" s="207"/>
      <c r="B41" s="210"/>
      <c r="C41" s="219" t="s">
        <v>200</v>
      </c>
      <c r="D41" s="196" t="s">
        <v>164</v>
      </c>
      <c r="E41" s="101">
        <v>700000</v>
      </c>
      <c r="F41" s="101">
        <f t="shared" ref="F41:F77" si="2">Q41</f>
        <v>808000</v>
      </c>
      <c r="G41" s="154">
        <f t="shared" si="1"/>
        <v>108000</v>
      </c>
      <c r="H41" s="276">
        <f t="shared" si="0"/>
        <v>15.428571428571427</v>
      </c>
      <c r="I41" s="961" t="s">
        <v>512</v>
      </c>
      <c r="J41" s="962"/>
      <c r="K41" s="962"/>
      <c r="L41" s="962"/>
      <c r="M41" s="962"/>
      <c r="N41" s="302"/>
      <c r="O41" s="302"/>
      <c r="P41" s="302"/>
      <c r="Q41" s="302">
        <v>808000</v>
      </c>
      <c r="R41" s="111" t="s">
        <v>121</v>
      </c>
      <c r="T41" s="228"/>
      <c r="U41" s="202"/>
      <c r="V41" s="212"/>
      <c r="W41" s="203"/>
    </row>
    <row r="42" spans="1:30" ht="24" customHeight="1">
      <c r="A42" s="207"/>
      <c r="B42" s="210"/>
      <c r="C42" s="229" t="s">
        <v>445</v>
      </c>
      <c r="D42" s="229"/>
      <c r="E42" s="101">
        <v>300000</v>
      </c>
      <c r="F42" s="101">
        <f t="shared" si="2"/>
        <v>1000000</v>
      </c>
      <c r="G42" s="154">
        <f t="shared" si="1"/>
        <v>700000</v>
      </c>
      <c r="H42" s="276">
        <f t="shared" si="0"/>
        <v>233.33333333333334</v>
      </c>
      <c r="I42" s="961" t="s">
        <v>298</v>
      </c>
      <c r="J42" s="962"/>
      <c r="K42" s="962"/>
      <c r="L42" s="962"/>
      <c r="M42" s="962"/>
      <c r="N42" s="302"/>
      <c r="O42" s="302"/>
      <c r="P42" s="302"/>
      <c r="Q42" s="302">
        <v>1000000</v>
      </c>
      <c r="R42" s="111" t="s">
        <v>121</v>
      </c>
      <c r="T42" s="228"/>
      <c r="U42" s="202"/>
      <c r="V42" s="212"/>
      <c r="W42" s="203"/>
    </row>
    <row r="43" spans="1:30" ht="24" customHeight="1">
      <c r="A43" s="207"/>
      <c r="B43" s="210"/>
      <c r="C43" s="229" t="s">
        <v>429</v>
      </c>
      <c r="D43" s="229"/>
      <c r="E43" s="101">
        <v>0</v>
      </c>
      <c r="F43" s="101">
        <f t="shared" si="2"/>
        <v>0</v>
      </c>
      <c r="G43" s="154">
        <f t="shared" si="1"/>
        <v>0</v>
      </c>
      <c r="H43" s="276">
        <v>0</v>
      </c>
      <c r="I43" s="279" t="s">
        <v>429</v>
      </c>
      <c r="J43" s="280"/>
      <c r="K43" s="280"/>
      <c r="L43" s="280"/>
      <c r="M43" s="280"/>
      <c r="N43" s="280"/>
      <c r="O43" s="280"/>
      <c r="P43" s="280"/>
      <c r="Q43" s="280">
        <v>0</v>
      </c>
      <c r="R43" s="111" t="s">
        <v>121</v>
      </c>
      <c r="T43" s="228"/>
      <c r="U43" s="202"/>
      <c r="V43" s="212"/>
      <c r="W43" s="203"/>
    </row>
    <row r="44" spans="1:30" ht="24" customHeight="1">
      <c r="A44" s="207"/>
      <c r="B44" s="210"/>
      <c r="C44" s="229" t="s">
        <v>128</v>
      </c>
      <c r="D44" s="229"/>
      <c r="E44" s="101">
        <v>0</v>
      </c>
      <c r="F44" s="101">
        <f t="shared" si="2"/>
        <v>0</v>
      </c>
      <c r="G44" s="154">
        <f t="shared" si="1"/>
        <v>0</v>
      </c>
      <c r="H44" s="276">
        <v>0</v>
      </c>
      <c r="I44" s="963" t="s">
        <v>36</v>
      </c>
      <c r="J44" s="964"/>
      <c r="K44" s="964"/>
      <c r="L44" s="964"/>
      <c r="M44" s="964"/>
      <c r="N44" s="303"/>
      <c r="O44" s="303"/>
      <c r="P44" s="303"/>
      <c r="Q44" s="303">
        <v>0</v>
      </c>
      <c r="R44" s="111" t="s">
        <v>121</v>
      </c>
      <c r="T44" s="228"/>
      <c r="U44" s="202"/>
      <c r="V44" s="212"/>
      <c r="W44" s="203"/>
    </row>
    <row r="45" spans="1:30" ht="24" customHeight="1">
      <c r="A45" s="230"/>
      <c r="B45" s="218"/>
      <c r="C45" s="229" t="s">
        <v>493</v>
      </c>
      <c r="D45" s="229"/>
      <c r="E45" s="101">
        <v>0</v>
      </c>
      <c r="F45" s="101">
        <f t="shared" si="2"/>
        <v>0</v>
      </c>
      <c r="G45" s="154">
        <f t="shared" si="1"/>
        <v>0</v>
      </c>
      <c r="H45" s="276">
        <v>0</v>
      </c>
      <c r="I45" s="965" t="s">
        <v>514</v>
      </c>
      <c r="J45" s="966"/>
      <c r="K45" s="966"/>
      <c r="L45" s="966"/>
      <c r="M45" s="966"/>
      <c r="N45" s="105"/>
      <c r="O45" s="105"/>
      <c r="P45" s="105"/>
      <c r="Q45" s="105">
        <v>0</v>
      </c>
      <c r="R45" s="111" t="s">
        <v>121</v>
      </c>
      <c r="T45" s="228"/>
      <c r="U45" s="202"/>
      <c r="V45" s="212"/>
      <c r="W45" s="203"/>
    </row>
    <row r="46" spans="1:30" ht="24" customHeight="1">
      <c r="A46" s="304" t="s">
        <v>314</v>
      </c>
      <c r="B46" s="967" t="s">
        <v>114</v>
      </c>
      <c r="C46" s="968"/>
      <c r="D46" s="229"/>
      <c r="E46" s="101">
        <v>0</v>
      </c>
      <c r="F46" s="101">
        <f t="shared" si="2"/>
        <v>1200000</v>
      </c>
      <c r="G46" s="154">
        <f t="shared" si="1"/>
        <v>1200000</v>
      </c>
      <c r="H46" s="276">
        <v>100</v>
      </c>
      <c r="I46" s="277" t="s">
        <v>488</v>
      </c>
      <c r="J46" s="278"/>
      <c r="K46" s="278"/>
      <c r="L46" s="278"/>
      <c r="M46" s="278"/>
      <c r="N46" s="278"/>
      <c r="O46" s="278"/>
      <c r="P46" s="278"/>
      <c r="Q46" s="278">
        <f>Q47</f>
        <v>1200000</v>
      </c>
      <c r="R46" s="95" t="s">
        <v>121</v>
      </c>
      <c r="T46" s="228"/>
      <c r="U46" s="202"/>
      <c r="W46" s="203"/>
    </row>
    <row r="47" spans="1:30" ht="26.25" customHeight="1">
      <c r="A47" s="204"/>
      <c r="B47" s="196" t="s">
        <v>139</v>
      </c>
      <c r="C47" s="229" t="s">
        <v>164</v>
      </c>
      <c r="D47" s="229"/>
      <c r="E47" s="101">
        <v>0</v>
      </c>
      <c r="F47" s="101">
        <f t="shared" si="2"/>
        <v>1200000</v>
      </c>
      <c r="G47" s="154">
        <f t="shared" si="1"/>
        <v>1200000</v>
      </c>
      <c r="H47" s="276">
        <v>100</v>
      </c>
      <c r="I47" s="277" t="s">
        <v>481</v>
      </c>
      <c r="J47" s="278"/>
      <c r="K47" s="278"/>
      <c r="L47" s="278"/>
      <c r="M47" s="278"/>
      <c r="N47" s="278"/>
      <c r="O47" s="278"/>
      <c r="P47" s="278"/>
      <c r="Q47" s="278">
        <f>Q48+Q49+Q50</f>
        <v>1200000</v>
      </c>
      <c r="R47" s="95" t="s">
        <v>121</v>
      </c>
      <c r="T47" s="228"/>
      <c r="U47" s="202"/>
      <c r="W47" s="203"/>
    </row>
    <row r="48" spans="1:30" ht="20.25" customHeight="1">
      <c r="A48" s="207"/>
      <c r="B48" s="208"/>
      <c r="C48" s="229" t="s">
        <v>139</v>
      </c>
      <c r="D48" s="229"/>
      <c r="E48" s="101">
        <v>0</v>
      </c>
      <c r="F48" s="101">
        <f t="shared" si="2"/>
        <v>0</v>
      </c>
      <c r="G48" s="154">
        <f t="shared" si="1"/>
        <v>0</v>
      </c>
      <c r="H48" s="276">
        <v>0</v>
      </c>
      <c r="I48" s="279" t="s">
        <v>489</v>
      </c>
      <c r="J48" s="280"/>
      <c r="K48" s="280"/>
      <c r="L48" s="280"/>
      <c r="M48" s="280"/>
      <c r="N48" s="280"/>
      <c r="O48" s="280"/>
      <c r="P48" s="280"/>
      <c r="Q48" s="280">
        <v>0</v>
      </c>
      <c r="R48" s="111" t="s">
        <v>121</v>
      </c>
      <c r="T48" s="228"/>
      <c r="U48" s="202"/>
      <c r="W48" s="203"/>
    </row>
    <row r="49" spans="1:26" ht="20.25" customHeight="1">
      <c r="A49" s="207"/>
      <c r="B49" s="210"/>
      <c r="C49" s="229" t="s">
        <v>473</v>
      </c>
      <c r="D49" s="229"/>
      <c r="E49" s="101">
        <v>0</v>
      </c>
      <c r="F49" s="101">
        <f t="shared" si="2"/>
        <v>0</v>
      </c>
      <c r="G49" s="154">
        <f t="shared" si="1"/>
        <v>0</v>
      </c>
      <c r="H49" s="276">
        <v>0</v>
      </c>
      <c r="I49" s="279" t="s">
        <v>473</v>
      </c>
      <c r="J49" s="305"/>
      <c r="K49" s="280">
        <v>0</v>
      </c>
      <c r="L49" s="282" t="s">
        <v>123</v>
      </c>
      <c r="M49" s="306">
        <v>0</v>
      </c>
      <c r="N49" s="282"/>
      <c r="O49" s="280"/>
      <c r="P49" s="285" t="s">
        <v>153</v>
      </c>
      <c r="Q49" s="280">
        <f>K49*M49</f>
        <v>0</v>
      </c>
      <c r="R49" s="111" t="s">
        <v>121</v>
      </c>
      <c r="T49" s="228"/>
      <c r="U49" s="202"/>
      <c r="W49" s="203"/>
    </row>
    <row r="50" spans="1:26" ht="39.75" customHeight="1">
      <c r="A50" s="230"/>
      <c r="B50" s="218"/>
      <c r="C50" s="229" t="s">
        <v>286</v>
      </c>
      <c r="D50" s="229"/>
      <c r="E50" s="101">
        <v>0</v>
      </c>
      <c r="F50" s="101">
        <f t="shared" si="2"/>
        <v>1200000</v>
      </c>
      <c r="G50" s="154">
        <f t="shared" si="1"/>
        <v>1200000</v>
      </c>
      <c r="H50" s="276">
        <v>100</v>
      </c>
      <c r="I50" s="965" t="s">
        <v>26</v>
      </c>
      <c r="J50" s="966"/>
      <c r="K50" s="280">
        <v>100000</v>
      </c>
      <c r="L50" s="282" t="s">
        <v>123</v>
      </c>
      <c r="M50" s="283">
        <v>12</v>
      </c>
      <c r="N50" s="282"/>
      <c r="O50" s="280"/>
      <c r="P50" s="285" t="s">
        <v>153</v>
      </c>
      <c r="Q50" s="280">
        <f>K50*M50</f>
        <v>1200000</v>
      </c>
      <c r="R50" s="111" t="s">
        <v>121</v>
      </c>
      <c r="T50" s="228"/>
      <c r="U50" s="202"/>
      <c r="V50" s="212"/>
      <c r="W50" s="203"/>
    </row>
    <row r="51" spans="1:26" ht="25.5" customHeight="1">
      <c r="A51" s="230" t="s">
        <v>178</v>
      </c>
      <c r="B51" s="969" t="s">
        <v>114</v>
      </c>
      <c r="C51" s="970"/>
      <c r="D51" s="261"/>
      <c r="E51" s="125">
        <f>E52+E58</f>
        <v>3100000</v>
      </c>
      <c r="F51" s="101">
        <f t="shared" si="2"/>
        <v>10992000</v>
      </c>
      <c r="G51" s="307">
        <f t="shared" si="1"/>
        <v>7892000</v>
      </c>
      <c r="H51" s="276">
        <f t="shared" si="0"/>
        <v>254.58064516129033</v>
      </c>
      <c r="I51" s="277" t="s">
        <v>495</v>
      </c>
      <c r="J51" s="278"/>
      <c r="K51" s="278"/>
      <c r="L51" s="278"/>
      <c r="M51" s="278"/>
      <c r="N51" s="278"/>
      <c r="O51" s="278"/>
      <c r="P51" s="278"/>
      <c r="Q51" s="278">
        <f>Q52+Q58</f>
        <v>10992000</v>
      </c>
      <c r="R51" s="95" t="s">
        <v>121</v>
      </c>
      <c r="T51" s="228"/>
      <c r="U51" s="202"/>
      <c r="W51" s="203"/>
    </row>
    <row r="52" spans="1:26" ht="21" customHeight="1">
      <c r="A52" s="204"/>
      <c r="B52" s="218" t="s">
        <v>162</v>
      </c>
      <c r="C52" s="218" t="s">
        <v>164</v>
      </c>
      <c r="D52" s="218"/>
      <c r="E52" s="308">
        <v>0</v>
      </c>
      <c r="F52" s="101">
        <f t="shared" si="2"/>
        <v>6192000</v>
      </c>
      <c r="G52" s="154">
        <f t="shared" si="1"/>
        <v>6192000</v>
      </c>
      <c r="H52" s="276">
        <v>100</v>
      </c>
      <c r="I52" s="959" t="s">
        <v>212</v>
      </c>
      <c r="J52" s="960"/>
      <c r="K52" s="960"/>
      <c r="L52" s="960"/>
      <c r="M52" s="960"/>
      <c r="N52" s="278"/>
      <c r="O52" s="278"/>
      <c r="P52" s="278"/>
      <c r="Q52" s="278">
        <f>Q53+Q54+Q55+Q56+Q57</f>
        <v>6192000</v>
      </c>
      <c r="R52" s="95" t="s">
        <v>121</v>
      </c>
      <c r="T52" s="228"/>
      <c r="U52" s="202"/>
      <c r="W52" s="203"/>
    </row>
    <row r="53" spans="1:26" ht="24.75" customHeight="1">
      <c r="A53" s="207"/>
      <c r="B53" s="291"/>
      <c r="C53" s="196" t="s">
        <v>149</v>
      </c>
      <c r="D53" s="196"/>
      <c r="E53" s="101">
        <v>0</v>
      </c>
      <c r="F53" s="101">
        <f t="shared" si="2"/>
        <v>4992000</v>
      </c>
      <c r="G53" s="154">
        <f t="shared" si="1"/>
        <v>4992000</v>
      </c>
      <c r="H53" s="276">
        <v>100</v>
      </c>
      <c r="I53" s="279" t="s">
        <v>149</v>
      </c>
      <c r="J53" s="105"/>
      <c r="K53" s="105">
        <v>600</v>
      </c>
      <c r="L53" s="282" t="s">
        <v>123</v>
      </c>
      <c r="M53" s="309">
        <v>260</v>
      </c>
      <c r="N53" s="282" t="s">
        <v>123</v>
      </c>
      <c r="O53" s="284">
        <v>32</v>
      </c>
      <c r="P53" s="285" t="s">
        <v>153</v>
      </c>
      <c r="Q53" s="281">
        <f>K53*M53*O53</f>
        <v>4992000</v>
      </c>
      <c r="R53" s="111" t="s">
        <v>121</v>
      </c>
      <c r="T53" s="228"/>
      <c r="U53" s="202"/>
      <c r="V53" s="211"/>
      <c r="W53" s="203"/>
      <c r="Z53" s="248"/>
    </row>
    <row r="54" spans="1:26" ht="21" customHeight="1">
      <c r="A54" s="207"/>
      <c r="B54" s="210"/>
      <c r="C54" s="196" t="s">
        <v>463</v>
      </c>
      <c r="D54" s="196" t="s">
        <v>164</v>
      </c>
      <c r="E54" s="101">
        <v>0</v>
      </c>
      <c r="F54" s="101">
        <f t="shared" si="2"/>
        <v>0</v>
      </c>
      <c r="G54" s="154">
        <f t="shared" si="1"/>
        <v>0</v>
      </c>
      <c r="H54" s="276">
        <v>0</v>
      </c>
      <c r="I54" s="279" t="s">
        <v>463</v>
      </c>
      <c r="J54" s="280"/>
      <c r="K54" s="280">
        <v>0</v>
      </c>
      <c r="L54" s="282" t="s">
        <v>123</v>
      </c>
      <c r="M54" s="283">
        <v>12</v>
      </c>
      <c r="N54" s="282"/>
      <c r="O54" s="280"/>
      <c r="P54" s="285" t="s">
        <v>153</v>
      </c>
      <c r="Q54" s="280">
        <f>K54*M54</f>
        <v>0</v>
      </c>
      <c r="R54" s="111" t="s">
        <v>121</v>
      </c>
      <c r="T54" s="228"/>
      <c r="U54" s="202"/>
      <c r="V54" s="212"/>
      <c r="W54" s="203"/>
    </row>
    <row r="55" spans="1:26" ht="22.5" customHeight="1">
      <c r="A55" s="207"/>
      <c r="B55" s="210"/>
      <c r="C55" s="196" t="s">
        <v>138</v>
      </c>
      <c r="D55" s="196"/>
      <c r="E55" s="101">
        <v>0</v>
      </c>
      <c r="F55" s="101">
        <f t="shared" si="2"/>
        <v>0</v>
      </c>
      <c r="G55" s="154">
        <f t="shared" si="1"/>
        <v>0</v>
      </c>
      <c r="H55" s="276">
        <v>0</v>
      </c>
      <c r="I55" s="279" t="s">
        <v>453</v>
      </c>
      <c r="J55" s="280"/>
      <c r="K55" s="280">
        <v>0</v>
      </c>
      <c r="L55" s="282" t="s">
        <v>123</v>
      </c>
      <c r="M55" s="284">
        <v>32</v>
      </c>
      <c r="N55" s="282"/>
      <c r="O55" s="280"/>
      <c r="P55" s="285" t="s">
        <v>153</v>
      </c>
      <c r="Q55" s="280">
        <f>K55*M55</f>
        <v>0</v>
      </c>
      <c r="R55" s="111" t="s">
        <v>121</v>
      </c>
      <c r="T55" s="228"/>
      <c r="U55" s="202"/>
      <c r="W55" s="203"/>
      <c r="Z55" s="206"/>
    </row>
    <row r="56" spans="1:26" ht="22.5" customHeight="1">
      <c r="A56" s="207"/>
      <c r="B56" s="210"/>
      <c r="C56" s="196" t="s">
        <v>125</v>
      </c>
      <c r="D56" s="196"/>
      <c r="E56" s="101">
        <v>0</v>
      </c>
      <c r="F56" s="101">
        <f t="shared" si="2"/>
        <v>0</v>
      </c>
      <c r="G56" s="154">
        <f t="shared" si="1"/>
        <v>0</v>
      </c>
      <c r="H56" s="276">
        <v>0</v>
      </c>
      <c r="I56" s="279" t="s">
        <v>125</v>
      </c>
      <c r="J56" s="280"/>
      <c r="K56" s="280">
        <v>0</v>
      </c>
      <c r="L56" s="282" t="s">
        <v>123</v>
      </c>
      <c r="M56" s="283">
        <v>12</v>
      </c>
      <c r="N56" s="282"/>
      <c r="O56" s="280"/>
      <c r="P56" s="285" t="s">
        <v>153</v>
      </c>
      <c r="Q56" s="280">
        <f>K56*M56</f>
        <v>0</v>
      </c>
      <c r="R56" s="111" t="s">
        <v>121</v>
      </c>
      <c r="T56" s="228"/>
      <c r="U56" s="202"/>
      <c r="W56" s="203"/>
    </row>
    <row r="57" spans="1:26" ht="22.5" customHeight="1">
      <c r="A57" s="207"/>
      <c r="B57" s="218"/>
      <c r="C57" s="196" t="s">
        <v>148</v>
      </c>
      <c r="D57" s="196"/>
      <c r="E57" s="101">
        <v>0</v>
      </c>
      <c r="F57" s="101">
        <f t="shared" si="2"/>
        <v>1200000</v>
      </c>
      <c r="G57" s="154">
        <f t="shared" si="1"/>
        <v>1200000</v>
      </c>
      <c r="H57" s="276">
        <v>100</v>
      </c>
      <c r="I57" s="279" t="s">
        <v>291</v>
      </c>
      <c r="J57" s="280"/>
      <c r="K57" s="280">
        <v>100000</v>
      </c>
      <c r="L57" s="282" t="s">
        <v>123</v>
      </c>
      <c r="M57" s="283">
        <v>12</v>
      </c>
      <c r="N57" s="282"/>
      <c r="O57" s="280"/>
      <c r="P57" s="285" t="s">
        <v>153</v>
      </c>
      <c r="Q57" s="280">
        <f>K57*M57</f>
        <v>1200000</v>
      </c>
      <c r="R57" s="111" t="s">
        <v>121</v>
      </c>
      <c r="T57" s="228"/>
      <c r="U57" s="202"/>
      <c r="W57" s="203"/>
    </row>
    <row r="58" spans="1:26" s="96" customFormat="1" ht="22.5" customHeight="1">
      <c r="A58" s="207"/>
      <c r="B58" s="196" t="s">
        <v>178</v>
      </c>
      <c r="C58" s="229" t="s">
        <v>164</v>
      </c>
      <c r="D58" s="229"/>
      <c r="E58" s="101">
        <f>SUM(E59:E62)</f>
        <v>3100000</v>
      </c>
      <c r="F58" s="101">
        <f t="shared" si="2"/>
        <v>4800000</v>
      </c>
      <c r="G58" s="154">
        <f>F58-E58</f>
        <v>1700000</v>
      </c>
      <c r="H58" s="276">
        <f t="shared" ref="H58:H71" si="3">G58/E58*100</f>
        <v>54.838709677419352</v>
      </c>
      <c r="I58" s="959" t="s">
        <v>288</v>
      </c>
      <c r="J58" s="960"/>
      <c r="K58" s="960"/>
      <c r="L58" s="960"/>
      <c r="M58" s="960"/>
      <c r="N58" s="278"/>
      <c r="O58" s="278"/>
      <c r="P58" s="278"/>
      <c r="Q58" s="278">
        <f>Q59+Q60+Q61+Q62</f>
        <v>4800000</v>
      </c>
      <c r="R58" s="95" t="s">
        <v>121</v>
      </c>
      <c r="S58" s="249"/>
      <c r="T58" s="250"/>
      <c r="U58" s="251"/>
      <c r="V58" s="252"/>
      <c r="W58" s="203"/>
      <c r="Z58" s="127"/>
    </row>
    <row r="59" spans="1:26" s="96" customFormat="1" ht="22.5" customHeight="1">
      <c r="A59" s="207"/>
      <c r="B59" s="312"/>
      <c r="C59" s="196" t="s">
        <v>426</v>
      </c>
      <c r="D59" s="229"/>
      <c r="E59" s="101">
        <v>775000</v>
      </c>
      <c r="F59" s="101">
        <f t="shared" si="2"/>
        <v>1200000</v>
      </c>
      <c r="G59" s="154">
        <f t="shared" ref="G59:G77" si="4">F59-E59</f>
        <v>425000</v>
      </c>
      <c r="H59" s="276">
        <f t="shared" si="3"/>
        <v>54.838709677419352</v>
      </c>
      <c r="I59" s="310" t="s">
        <v>426</v>
      </c>
      <c r="J59" s="311"/>
      <c r="K59" s="280">
        <v>100000</v>
      </c>
      <c r="L59" s="282" t="s">
        <v>123</v>
      </c>
      <c r="M59" s="283">
        <v>12</v>
      </c>
      <c r="N59" s="282"/>
      <c r="O59" s="280"/>
      <c r="P59" s="285" t="s">
        <v>153</v>
      </c>
      <c r="Q59" s="280">
        <f>K59*M59</f>
        <v>1200000</v>
      </c>
      <c r="R59" s="111" t="s">
        <v>121</v>
      </c>
      <c r="S59" s="249"/>
      <c r="T59" s="250"/>
      <c r="U59" s="251"/>
      <c r="V59" s="252"/>
      <c r="W59" s="203"/>
    </row>
    <row r="60" spans="1:26" s="96" customFormat="1" ht="22.5" customHeight="1">
      <c r="A60" s="207"/>
      <c r="B60" s="210"/>
      <c r="C60" s="196" t="s">
        <v>507</v>
      </c>
      <c r="D60" s="229"/>
      <c r="E60" s="101">
        <v>775000</v>
      </c>
      <c r="F60" s="101">
        <f t="shared" si="2"/>
        <v>1200000</v>
      </c>
      <c r="G60" s="154">
        <f t="shared" si="4"/>
        <v>425000</v>
      </c>
      <c r="H60" s="276">
        <f t="shared" si="3"/>
        <v>54.838709677419352</v>
      </c>
      <c r="I60" s="310" t="s">
        <v>507</v>
      </c>
      <c r="J60" s="281"/>
      <c r="K60" s="280">
        <v>100000</v>
      </c>
      <c r="L60" s="282" t="s">
        <v>123</v>
      </c>
      <c r="M60" s="283">
        <v>12</v>
      </c>
      <c r="N60" s="282"/>
      <c r="O60" s="280"/>
      <c r="P60" s="285" t="s">
        <v>153</v>
      </c>
      <c r="Q60" s="280">
        <f>K60*M60</f>
        <v>1200000</v>
      </c>
      <c r="R60" s="111" t="s">
        <v>121</v>
      </c>
      <c r="S60" s="249"/>
      <c r="T60" s="250"/>
      <c r="U60" s="251"/>
      <c r="V60" s="253"/>
      <c r="W60" s="203"/>
    </row>
    <row r="61" spans="1:26" s="96" customFormat="1" ht="24.75" customHeight="1">
      <c r="A61" s="207"/>
      <c r="B61" s="210"/>
      <c r="C61" s="196" t="s">
        <v>440</v>
      </c>
      <c r="D61" s="313"/>
      <c r="E61" s="101">
        <v>775000</v>
      </c>
      <c r="F61" s="101">
        <f t="shared" si="2"/>
        <v>1200000</v>
      </c>
      <c r="G61" s="154">
        <f t="shared" si="4"/>
        <v>425000</v>
      </c>
      <c r="H61" s="276">
        <f t="shared" si="3"/>
        <v>54.838709677419352</v>
      </c>
      <c r="I61" s="310" t="s">
        <v>440</v>
      </c>
      <c r="J61" s="314"/>
      <c r="K61" s="280">
        <v>100000</v>
      </c>
      <c r="L61" s="282" t="s">
        <v>123</v>
      </c>
      <c r="M61" s="283">
        <v>12</v>
      </c>
      <c r="N61" s="282"/>
      <c r="O61" s="280"/>
      <c r="P61" s="285" t="s">
        <v>153</v>
      </c>
      <c r="Q61" s="280">
        <f>K61*M61</f>
        <v>1200000</v>
      </c>
      <c r="R61" s="111" t="s">
        <v>121</v>
      </c>
      <c r="S61" s="249"/>
      <c r="T61" s="250"/>
      <c r="U61" s="251"/>
      <c r="V61" s="253"/>
      <c r="W61" s="203"/>
    </row>
    <row r="62" spans="1:26" s="96" customFormat="1" ht="24.75" customHeight="1">
      <c r="A62" s="230"/>
      <c r="B62" s="218"/>
      <c r="C62" s="229" t="s">
        <v>459</v>
      </c>
      <c r="D62" s="229"/>
      <c r="E62" s="101">
        <v>775000</v>
      </c>
      <c r="F62" s="101">
        <f t="shared" si="2"/>
        <v>1200000</v>
      </c>
      <c r="G62" s="154">
        <f t="shared" si="4"/>
        <v>425000</v>
      </c>
      <c r="H62" s="276">
        <f t="shared" si="3"/>
        <v>54.838709677419352</v>
      </c>
      <c r="I62" s="310" t="s">
        <v>459</v>
      </c>
      <c r="J62" s="281"/>
      <c r="K62" s="280">
        <v>100000</v>
      </c>
      <c r="L62" s="282" t="s">
        <v>123</v>
      </c>
      <c r="M62" s="283">
        <v>12</v>
      </c>
      <c r="N62" s="282"/>
      <c r="O62" s="280"/>
      <c r="P62" s="285" t="s">
        <v>153</v>
      </c>
      <c r="Q62" s="280">
        <f>K62*M62</f>
        <v>1200000</v>
      </c>
      <c r="R62" s="111" t="s">
        <v>121</v>
      </c>
      <c r="S62" s="249"/>
      <c r="T62" s="250"/>
      <c r="U62" s="251"/>
      <c r="V62" s="253"/>
      <c r="W62" s="203"/>
    </row>
    <row r="63" spans="1:26" s="96" customFormat="1" ht="24.75" hidden="1" customHeight="1">
      <c r="A63" s="193"/>
      <c r="B63" s="196"/>
      <c r="C63" s="229"/>
      <c r="D63" s="229"/>
      <c r="E63" s="101"/>
      <c r="F63" s="101">
        <f t="shared" si="2"/>
        <v>0</v>
      </c>
      <c r="G63" s="154">
        <f t="shared" si="4"/>
        <v>0</v>
      </c>
      <c r="H63" s="276" t="e">
        <f t="shared" si="3"/>
        <v>#DIV/0!</v>
      </c>
      <c r="I63" s="310"/>
      <c r="J63" s="311"/>
      <c r="K63" s="311"/>
      <c r="L63" s="311"/>
      <c r="M63" s="311"/>
      <c r="N63" s="311"/>
      <c r="O63" s="311"/>
      <c r="P63" s="311"/>
      <c r="Q63" s="311"/>
      <c r="R63" s="111" t="s">
        <v>121</v>
      </c>
      <c r="S63" s="257"/>
      <c r="T63" s="258"/>
      <c r="U63" s="259"/>
      <c r="V63" s="260"/>
      <c r="W63" s="203"/>
    </row>
    <row r="64" spans="1:26" s="96" customFormat="1" ht="24.75" hidden="1" customHeight="1">
      <c r="A64" s="193"/>
      <c r="B64" s="196"/>
      <c r="C64" s="229"/>
      <c r="D64" s="229"/>
      <c r="E64" s="101"/>
      <c r="F64" s="101">
        <f t="shared" si="2"/>
        <v>0</v>
      </c>
      <c r="G64" s="154">
        <f t="shared" si="4"/>
        <v>0</v>
      </c>
      <c r="H64" s="276" t="e">
        <f t="shared" si="3"/>
        <v>#DIV/0!</v>
      </c>
      <c r="I64" s="315"/>
      <c r="J64" s="316"/>
      <c r="K64" s="316"/>
      <c r="L64" s="316"/>
      <c r="M64" s="316"/>
      <c r="N64" s="316"/>
      <c r="O64" s="316"/>
      <c r="P64" s="316"/>
      <c r="Q64" s="316"/>
      <c r="R64" s="111" t="s">
        <v>121</v>
      </c>
      <c r="S64" s="257"/>
      <c r="T64" s="258"/>
      <c r="U64" s="259"/>
      <c r="V64" s="252"/>
      <c r="W64" s="203"/>
    </row>
    <row r="65" spans="1:35" s="96" customFormat="1" ht="33" hidden="1" customHeight="1">
      <c r="A65" s="193"/>
      <c r="B65" s="196"/>
      <c r="C65" s="229"/>
      <c r="D65" s="229"/>
      <c r="E65" s="101"/>
      <c r="F65" s="101">
        <f t="shared" si="2"/>
        <v>0</v>
      </c>
      <c r="G65" s="154">
        <f t="shared" si="4"/>
        <v>0</v>
      </c>
      <c r="H65" s="276" t="e">
        <f t="shared" si="3"/>
        <v>#DIV/0!</v>
      </c>
      <c r="I65" s="310"/>
      <c r="J65" s="311"/>
      <c r="K65" s="311"/>
      <c r="L65" s="311"/>
      <c r="M65" s="311"/>
      <c r="N65" s="311"/>
      <c r="O65" s="311"/>
      <c r="P65" s="311"/>
      <c r="Q65" s="311"/>
      <c r="R65" s="111" t="s">
        <v>121</v>
      </c>
      <c r="S65" s="257"/>
      <c r="T65" s="258"/>
      <c r="U65" s="259"/>
      <c r="V65" s="252"/>
      <c r="W65" s="203"/>
    </row>
    <row r="66" spans="1:35" s="96" customFormat="1" ht="24.75" hidden="1" customHeight="1">
      <c r="A66" s="193"/>
      <c r="B66" s="196"/>
      <c r="C66" s="229"/>
      <c r="D66" s="229"/>
      <c r="E66" s="101"/>
      <c r="F66" s="101">
        <f t="shared" si="2"/>
        <v>0</v>
      </c>
      <c r="G66" s="154">
        <f t="shared" si="4"/>
        <v>0</v>
      </c>
      <c r="H66" s="276" t="e">
        <f t="shared" si="3"/>
        <v>#DIV/0!</v>
      </c>
      <c r="I66" s="310"/>
      <c r="J66" s="311"/>
      <c r="K66" s="311"/>
      <c r="L66" s="311"/>
      <c r="M66" s="311"/>
      <c r="N66" s="311"/>
      <c r="O66" s="311"/>
      <c r="P66" s="311"/>
      <c r="Q66" s="311"/>
      <c r="R66" s="111" t="s">
        <v>121</v>
      </c>
      <c r="S66" s="257"/>
      <c r="T66" s="258"/>
      <c r="U66" s="259"/>
      <c r="V66" s="252"/>
      <c r="W66" s="203"/>
    </row>
    <row r="67" spans="1:35" s="96" customFormat="1" ht="24.75" hidden="1" customHeight="1">
      <c r="A67" s="193"/>
      <c r="B67" s="196"/>
      <c r="C67" s="229"/>
      <c r="D67" s="229"/>
      <c r="E67" s="101"/>
      <c r="F67" s="101">
        <f t="shared" si="2"/>
        <v>0</v>
      </c>
      <c r="G67" s="154">
        <f t="shared" si="4"/>
        <v>0</v>
      </c>
      <c r="H67" s="276" t="e">
        <f t="shared" si="3"/>
        <v>#DIV/0!</v>
      </c>
      <c r="I67" s="310"/>
      <c r="J67" s="311"/>
      <c r="K67" s="311"/>
      <c r="L67" s="311"/>
      <c r="M67" s="311"/>
      <c r="N67" s="311"/>
      <c r="O67" s="311"/>
      <c r="P67" s="311"/>
      <c r="Q67" s="311"/>
      <c r="R67" s="111" t="s">
        <v>121</v>
      </c>
      <c r="S67" s="257"/>
      <c r="T67" s="258"/>
      <c r="U67" s="259"/>
      <c r="V67" s="252"/>
      <c r="W67" s="203"/>
    </row>
    <row r="68" spans="1:35" s="96" customFormat="1" ht="24.75" hidden="1" customHeight="1">
      <c r="A68" s="193"/>
      <c r="B68" s="196"/>
      <c r="C68" s="229"/>
      <c r="D68" s="229"/>
      <c r="E68" s="101"/>
      <c r="F68" s="101">
        <f t="shared" si="2"/>
        <v>0</v>
      </c>
      <c r="G68" s="154">
        <f t="shared" si="4"/>
        <v>0</v>
      </c>
      <c r="H68" s="276" t="e">
        <f t="shared" si="3"/>
        <v>#DIV/0!</v>
      </c>
      <c r="I68" s="310"/>
      <c r="J68" s="311"/>
      <c r="K68" s="311"/>
      <c r="L68" s="311"/>
      <c r="M68" s="311"/>
      <c r="N68" s="311"/>
      <c r="O68" s="311"/>
      <c r="P68" s="311"/>
      <c r="Q68" s="311"/>
      <c r="R68" s="111" t="s">
        <v>121</v>
      </c>
      <c r="S68" s="257"/>
      <c r="T68" s="258"/>
      <c r="U68" s="259"/>
      <c r="V68" s="252"/>
      <c r="W68" s="203"/>
    </row>
    <row r="69" spans="1:35" s="96" customFormat="1" ht="24.75" hidden="1" customHeight="1">
      <c r="A69" s="193"/>
      <c r="B69" s="229"/>
      <c r="C69" s="229"/>
      <c r="D69" s="229"/>
      <c r="E69" s="101"/>
      <c r="F69" s="101">
        <f t="shared" si="2"/>
        <v>0</v>
      </c>
      <c r="G69" s="154">
        <f t="shared" si="4"/>
        <v>0</v>
      </c>
      <c r="H69" s="276" t="e">
        <f t="shared" si="3"/>
        <v>#DIV/0!</v>
      </c>
      <c r="I69" s="279"/>
      <c r="J69" s="280"/>
      <c r="K69" s="280"/>
      <c r="L69" s="280"/>
      <c r="M69" s="280"/>
      <c r="N69" s="280"/>
      <c r="O69" s="280"/>
      <c r="P69" s="280"/>
      <c r="Q69" s="280"/>
      <c r="R69" s="111" t="s">
        <v>121</v>
      </c>
      <c r="S69" s="249"/>
      <c r="T69" s="250"/>
      <c r="U69" s="251"/>
      <c r="V69" s="252"/>
      <c r="W69" s="203"/>
    </row>
    <row r="70" spans="1:35" s="96" customFormat="1" ht="24.75" hidden="1" customHeight="1">
      <c r="A70" s="193"/>
      <c r="B70" s="229"/>
      <c r="C70" s="229"/>
      <c r="D70" s="229"/>
      <c r="E70" s="101"/>
      <c r="F70" s="101">
        <f t="shared" si="2"/>
        <v>0</v>
      </c>
      <c r="G70" s="154"/>
      <c r="H70" s="276" t="e">
        <f t="shared" si="3"/>
        <v>#DIV/0!</v>
      </c>
      <c r="I70" s="279"/>
      <c r="J70" s="280"/>
      <c r="K70" s="280"/>
      <c r="L70" s="280"/>
      <c r="M70" s="280"/>
      <c r="N70" s="280"/>
      <c r="O70" s="280"/>
      <c r="P70" s="280"/>
      <c r="Q70" s="280"/>
      <c r="R70" s="111" t="s">
        <v>121</v>
      </c>
      <c r="S70" s="249"/>
      <c r="T70" s="250"/>
      <c r="U70" s="251"/>
      <c r="V70" s="252"/>
      <c r="W70" s="203"/>
    </row>
    <row r="71" spans="1:35" s="96" customFormat="1" ht="24.75" hidden="1" customHeight="1">
      <c r="A71" s="193"/>
      <c r="B71" s="196"/>
      <c r="C71" s="229"/>
      <c r="D71" s="229"/>
      <c r="E71" s="101"/>
      <c r="F71" s="101">
        <f t="shared" si="2"/>
        <v>0</v>
      </c>
      <c r="G71" s="154">
        <f t="shared" si="4"/>
        <v>0</v>
      </c>
      <c r="H71" s="276" t="e">
        <f t="shared" si="3"/>
        <v>#DIV/0!</v>
      </c>
      <c r="I71" s="279"/>
      <c r="J71" s="280"/>
      <c r="K71" s="280"/>
      <c r="L71" s="280"/>
      <c r="M71" s="280"/>
      <c r="N71" s="280"/>
      <c r="O71" s="280"/>
      <c r="P71" s="280"/>
      <c r="Q71" s="280"/>
      <c r="R71" s="111" t="s">
        <v>121</v>
      </c>
      <c r="S71" s="249"/>
      <c r="T71" s="250"/>
      <c r="U71" s="251"/>
      <c r="V71" s="252"/>
      <c r="W71" s="203"/>
    </row>
    <row r="72" spans="1:35" s="96" customFormat="1" ht="24.75" customHeight="1">
      <c r="A72" s="193" t="s">
        <v>109</v>
      </c>
      <c r="B72" s="952" t="s">
        <v>114</v>
      </c>
      <c r="C72" s="953"/>
      <c r="D72" s="229"/>
      <c r="E72" s="101">
        <v>0</v>
      </c>
      <c r="F72" s="101">
        <f t="shared" si="2"/>
        <v>200000</v>
      </c>
      <c r="G72" s="154">
        <f t="shared" si="4"/>
        <v>200000</v>
      </c>
      <c r="H72" s="276">
        <v>100</v>
      </c>
      <c r="I72" s="277" t="s">
        <v>455</v>
      </c>
      <c r="J72" s="278"/>
      <c r="K72" s="278"/>
      <c r="L72" s="278"/>
      <c r="M72" s="278"/>
      <c r="N72" s="278"/>
      <c r="O72" s="278"/>
      <c r="P72" s="278"/>
      <c r="Q72" s="278">
        <f>Q73</f>
        <v>200000</v>
      </c>
      <c r="R72" s="95" t="s">
        <v>121</v>
      </c>
      <c r="S72" s="200"/>
      <c r="T72" s="228"/>
      <c r="U72" s="202"/>
      <c r="V72" s="212"/>
      <c r="W72" s="203"/>
      <c r="X72" s="174"/>
      <c r="Y72" s="174"/>
      <c r="Z72" s="174"/>
      <c r="AA72" s="174"/>
      <c r="AB72" s="174"/>
      <c r="AC72" s="174"/>
      <c r="AD72" s="174"/>
      <c r="AE72" s="174"/>
      <c r="AF72" s="174"/>
      <c r="AG72" s="174"/>
      <c r="AH72" s="174"/>
      <c r="AI72" s="174"/>
    </row>
    <row r="73" spans="1:35" s="96" customFormat="1" ht="24.75" customHeight="1">
      <c r="A73" s="204"/>
      <c r="B73" s="317" t="s">
        <v>109</v>
      </c>
      <c r="C73" s="952" t="s">
        <v>114</v>
      </c>
      <c r="D73" s="953"/>
      <c r="E73" s="146">
        <v>0</v>
      </c>
      <c r="F73" s="101">
        <f t="shared" si="2"/>
        <v>200000</v>
      </c>
      <c r="G73" s="154">
        <f t="shared" si="4"/>
        <v>200000</v>
      </c>
      <c r="H73" s="276">
        <v>100</v>
      </c>
      <c r="I73" s="277" t="s">
        <v>485</v>
      </c>
      <c r="J73" s="278"/>
      <c r="K73" s="278"/>
      <c r="L73" s="278"/>
      <c r="M73" s="278"/>
      <c r="N73" s="278"/>
      <c r="O73" s="278"/>
      <c r="P73" s="278"/>
      <c r="Q73" s="278">
        <f>Q74</f>
        <v>200000</v>
      </c>
      <c r="R73" s="95" t="s">
        <v>121</v>
      </c>
      <c r="S73" s="200"/>
      <c r="T73" s="228"/>
      <c r="U73" s="202"/>
      <c r="V73" s="201"/>
      <c r="W73" s="203"/>
      <c r="X73" s="174"/>
      <c r="Y73" s="174"/>
      <c r="Z73" s="174"/>
      <c r="AA73" s="174"/>
      <c r="AB73" s="174"/>
      <c r="AC73" s="174"/>
      <c r="AD73" s="174"/>
      <c r="AE73" s="174"/>
      <c r="AF73" s="174"/>
      <c r="AG73" s="174"/>
      <c r="AH73" s="174"/>
      <c r="AI73" s="174"/>
    </row>
    <row r="74" spans="1:35" s="96" customFormat="1" ht="24.75" customHeight="1">
      <c r="A74" s="234"/>
      <c r="B74" s="318"/>
      <c r="C74" s="267" t="s">
        <v>109</v>
      </c>
      <c r="D74" s="236" t="s">
        <v>164</v>
      </c>
      <c r="E74" s="158">
        <v>0</v>
      </c>
      <c r="F74" s="158">
        <f t="shared" si="2"/>
        <v>200000</v>
      </c>
      <c r="G74" s="319">
        <f t="shared" si="4"/>
        <v>200000</v>
      </c>
      <c r="H74" s="320">
        <v>100</v>
      </c>
      <c r="I74" s="321" t="s">
        <v>109</v>
      </c>
      <c r="J74" s="322"/>
      <c r="K74" s="322"/>
      <c r="L74" s="322"/>
      <c r="M74" s="322"/>
      <c r="N74" s="322"/>
      <c r="O74" s="322"/>
      <c r="P74" s="322"/>
      <c r="Q74" s="322">
        <v>200000</v>
      </c>
      <c r="R74" s="163" t="s">
        <v>121</v>
      </c>
      <c r="S74" s="200"/>
      <c r="T74" s="228"/>
      <c r="U74" s="202"/>
      <c r="V74" s="201"/>
      <c r="W74" s="203"/>
      <c r="X74" s="174"/>
      <c r="Y74" s="174"/>
      <c r="Z74" s="174"/>
      <c r="AA74" s="174"/>
      <c r="AB74" s="174"/>
      <c r="AC74" s="174"/>
      <c r="AD74" s="174"/>
      <c r="AE74" s="174"/>
      <c r="AF74" s="174"/>
      <c r="AG74" s="174"/>
      <c r="AH74" s="174"/>
      <c r="AI74" s="174"/>
    </row>
    <row r="75" spans="1:35" s="96" customFormat="1" ht="24.75" hidden="1" customHeight="1">
      <c r="A75" s="230" t="s">
        <v>154</v>
      </c>
      <c r="B75" s="241"/>
      <c r="C75" s="218"/>
      <c r="D75" s="218" t="s">
        <v>42</v>
      </c>
      <c r="E75" s="125">
        <v>0</v>
      </c>
      <c r="F75" s="125">
        <f t="shared" si="2"/>
        <v>0</v>
      </c>
      <c r="G75" s="307">
        <f t="shared" si="4"/>
        <v>0</v>
      </c>
      <c r="H75" s="323" t="e">
        <f t="shared" ref="H75:H77" si="5">G75/E75*100</f>
        <v>#DIV/0!</v>
      </c>
      <c r="I75" s="324" t="s">
        <v>492</v>
      </c>
      <c r="J75" s="325"/>
      <c r="K75" s="325"/>
      <c r="L75" s="325"/>
      <c r="M75" s="325"/>
      <c r="N75" s="325"/>
      <c r="O75" s="325"/>
      <c r="P75" s="325"/>
      <c r="Q75" s="325">
        <f>Q76</f>
        <v>0</v>
      </c>
      <c r="R75" s="326" t="s">
        <v>121</v>
      </c>
      <c r="S75" s="200"/>
      <c r="T75" s="228"/>
      <c r="U75" s="202"/>
      <c r="V75" s="212"/>
      <c r="W75" s="203"/>
      <c r="X75" s="174"/>
      <c r="Y75" s="174"/>
      <c r="Z75" s="174"/>
      <c r="AA75" s="174"/>
      <c r="AB75" s="174"/>
      <c r="AC75" s="174"/>
      <c r="AD75" s="174"/>
      <c r="AE75" s="174"/>
      <c r="AF75" s="174"/>
      <c r="AG75" s="174"/>
      <c r="AH75" s="174"/>
      <c r="AI75" s="174"/>
    </row>
    <row r="76" spans="1:35" ht="23.25" hidden="1" customHeight="1">
      <c r="A76" s="204"/>
      <c r="B76" s="218" t="s">
        <v>154</v>
      </c>
      <c r="C76" s="261" t="s">
        <v>164</v>
      </c>
      <c r="D76" s="261"/>
      <c r="E76" s="125">
        <v>0</v>
      </c>
      <c r="F76" s="101">
        <f t="shared" si="2"/>
        <v>0</v>
      </c>
      <c r="G76" s="307">
        <f t="shared" si="4"/>
        <v>0</v>
      </c>
      <c r="H76" s="276" t="e">
        <f t="shared" si="5"/>
        <v>#DIV/0!</v>
      </c>
      <c r="I76" s="279" t="s">
        <v>478</v>
      </c>
      <c r="J76" s="280"/>
      <c r="K76" s="280"/>
      <c r="L76" s="280"/>
      <c r="M76" s="280"/>
      <c r="N76" s="280"/>
      <c r="O76" s="280"/>
      <c r="P76" s="280"/>
      <c r="Q76" s="280">
        <f>Q77</f>
        <v>0</v>
      </c>
      <c r="R76" s="111" t="s">
        <v>121</v>
      </c>
      <c r="T76" s="228"/>
      <c r="U76" s="202"/>
      <c r="W76" s="203"/>
    </row>
    <row r="77" spans="1:35" ht="23.25" hidden="1" customHeight="1">
      <c r="A77" s="234"/>
      <c r="B77" s="236"/>
      <c r="C77" s="267" t="s">
        <v>154</v>
      </c>
      <c r="D77" s="267"/>
      <c r="E77" s="158">
        <v>0</v>
      </c>
      <c r="F77" s="158">
        <f t="shared" si="2"/>
        <v>0</v>
      </c>
      <c r="G77" s="319">
        <f t="shared" si="4"/>
        <v>0</v>
      </c>
      <c r="H77" s="276" t="e">
        <f t="shared" si="5"/>
        <v>#DIV/0!</v>
      </c>
      <c r="I77" s="321" t="s">
        <v>154</v>
      </c>
      <c r="J77" s="322"/>
      <c r="K77" s="322"/>
      <c r="L77" s="322"/>
      <c r="M77" s="322"/>
      <c r="N77" s="322"/>
      <c r="O77" s="322"/>
      <c r="P77" s="322"/>
      <c r="Q77" s="322">
        <v>0</v>
      </c>
      <c r="R77" s="163" t="s">
        <v>121</v>
      </c>
      <c r="T77" s="228"/>
      <c r="U77" s="202"/>
      <c r="W77" s="203"/>
    </row>
    <row r="78" spans="1:35" ht="23.25" customHeight="1">
      <c r="A78" s="150"/>
      <c r="B78" s="150"/>
      <c r="C78" s="150"/>
      <c r="D78" s="150"/>
    </row>
    <row r="79" spans="1:35" ht="29.25" customHeight="1"/>
    <row r="80" spans="1:35" ht="24" customHeight="1"/>
    <row r="81" spans="6:36" s="96" customFormat="1" ht="24" customHeight="1">
      <c r="F81" s="270"/>
      <c r="G81" s="168"/>
      <c r="H81" s="327"/>
      <c r="I81" s="169"/>
      <c r="S81" s="200"/>
      <c r="T81" s="201"/>
      <c r="U81" s="201"/>
      <c r="V81" s="201"/>
      <c r="W81" s="174"/>
      <c r="X81" s="174"/>
      <c r="Y81" s="174"/>
      <c r="Z81" s="174"/>
      <c r="AA81" s="174"/>
      <c r="AB81" s="174"/>
      <c r="AC81" s="174"/>
      <c r="AD81" s="174"/>
      <c r="AE81" s="174"/>
      <c r="AF81" s="174"/>
      <c r="AG81" s="174"/>
      <c r="AH81" s="174"/>
      <c r="AI81" s="174"/>
      <c r="AJ81" s="174"/>
    </row>
  </sheetData>
  <mergeCells count="25">
    <mergeCell ref="I41:M41"/>
    <mergeCell ref="I1:R1"/>
    <mergeCell ref="A2:C2"/>
    <mergeCell ref="I2:R2"/>
    <mergeCell ref="I3:R3"/>
    <mergeCell ref="A4:D4"/>
    <mergeCell ref="E4:E5"/>
    <mergeCell ref="F4:F5"/>
    <mergeCell ref="G4:H4"/>
    <mergeCell ref="I4:R5"/>
    <mergeCell ref="A6:C6"/>
    <mergeCell ref="B7:C7"/>
    <mergeCell ref="I27:J27"/>
    <mergeCell ref="I33:N33"/>
    <mergeCell ref="I35:J35"/>
    <mergeCell ref="I52:M52"/>
    <mergeCell ref="I58:M58"/>
    <mergeCell ref="B72:C72"/>
    <mergeCell ref="C73:D73"/>
    <mergeCell ref="I42:M42"/>
    <mergeCell ref="I44:M44"/>
    <mergeCell ref="I45:M45"/>
    <mergeCell ref="B46:C46"/>
    <mergeCell ref="I50:J50"/>
    <mergeCell ref="B51:C51"/>
  </mergeCells>
  <phoneticPr fontId="65" type="noConversion"/>
  <pageMargins left="0.12986111640930176" right="0.12986111640930176" top="0.52972221374511719" bottom="0.12986111640930176" header="0.38972222805023193" footer="0.12986111640930176"/>
  <pageSetup paperSize="9" scale="81" orientation="portrait" horizontalDpi="4294967293" verticalDpi="4294967293" r:id="rId1"/>
</worksheet>
</file>

<file path=xl/worksheets/sheet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9"/>
  <dimension ref="A1:H33"/>
  <sheetViews>
    <sheetView view="pageBreakPreview" zoomScale="80" zoomScaleNormal="85" zoomScaleSheetLayoutView="80" workbookViewId="0">
      <selection activeCell="K18" sqref="K18"/>
    </sheetView>
  </sheetViews>
  <sheetFormatPr defaultColWidth="9" defaultRowHeight="13.5"/>
  <cols>
    <col min="1" max="1" width="3.25" style="575" customWidth="1"/>
    <col min="2" max="2" width="13.5" style="575" customWidth="1"/>
    <col min="3" max="3" width="19.125" style="577" customWidth="1"/>
    <col min="4" max="4" width="18.125" style="575" customWidth="1"/>
    <col min="5" max="5" width="19.125" style="577" customWidth="1"/>
    <col min="6" max="6" width="18.125" style="575" customWidth="1"/>
    <col min="7" max="7" width="3.125" style="575" customWidth="1"/>
    <col min="8" max="9" width="9" style="575"/>
    <col min="10" max="10" width="17.125" style="575" customWidth="1"/>
    <col min="11" max="16384" width="9" style="575"/>
  </cols>
  <sheetData>
    <row r="1" spans="1:6" ht="29.25" customHeight="1">
      <c r="B1" s="971" t="s">
        <v>297</v>
      </c>
      <c r="C1" s="971"/>
      <c r="D1" s="971"/>
      <c r="E1" s="971"/>
      <c r="F1" s="971"/>
    </row>
    <row r="2" spans="1:6" ht="18" customHeight="1">
      <c r="A2" s="576"/>
      <c r="B2" s="576"/>
      <c r="C2" s="576"/>
      <c r="D2" s="576"/>
      <c r="E2" s="576"/>
      <c r="F2" s="576"/>
    </row>
    <row r="3" spans="1:6" ht="21.2" customHeight="1">
      <c r="E3" s="973" t="s">
        <v>193</v>
      </c>
      <c r="F3" s="973"/>
    </row>
    <row r="4" spans="1:6" ht="23.25" customHeight="1">
      <c r="B4" s="578" t="s">
        <v>430</v>
      </c>
      <c r="C4" s="974" t="s">
        <v>394</v>
      </c>
      <c r="D4" s="975"/>
      <c r="E4" s="976" t="s">
        <v>415</v>
      </c>
      <c r="F4" s="977"/>
    </row>
    <row r="5" spans="1:6" ht="26.45" customHeight="1">
      <c r="B5" s="579" t="s">
        <v>392</v>
      </c>
      <c r="C5" s="978">
        <f>D6+D14+D23+D26</f>
        <v>133326000</v>
      </c>
      <c r="D5" s="979"/>
      <c r="E5" s="980">
        <f>F6+F14+F23+F26</f>
        <v>133326000</v>
      </c>
      <c r="F5" s="981"/>
    </row>
    <row r="6" spans="1:6" ht="21.75" customHeight="1">
      <c r="B6" s="580" t="s">
        <v>81</v>
      </c>
      <c r="C6" s="581" t="s">
        <v>418</v>
      </c>
      <c r="D6" s="582">
        <f>SUM(D7:D12)</f>
        <v>106286870</v>
      </c>
      <c r="E6" s="583" t="s">
        <v>418</v>
      </c>
      <c r="F6" s="584">
        <f>SUM(F7:F13)</f>
        <v>106286870</v>
      </c>
    </row>
    <row r="7" spans="1:6" ht="19.5" customHeight="1">
      <c r="B7" s="580"/>
      <c r="C7" s="585" t="s">
        <v>423</v>
      </c>
      <c r="D7" s="586">
        <f>'다. 세입내역서'!E16</f>
        <v>100425000</v>
      </c>
      <c r="E7" s="587" t="s">
        <v>242</v>
      </c>
      <c r="F7" s="588">
        <f>'라. 세출내역서'!H8</f>
        <v>87983000</v>
      </c>
    </row>
    <row r="8" spans="1:6" ht="19.5" customHeight="1">
      <c r="B8" s="580"/>
      <c r="C8" s="589" t="s">
        <v>119</v>
      </c>
      <c r="D8" s="590">
        <f>'다. 세입내역서'!E32</f>
        <v>5840530</v>
      </c>
      <c r="E8" s="591" t="s">
        <v>237</v>
      </c>
      <c r="F8" s="592">
        <f>'라. 세출내역서'!H48</f>
        <v>2600000</v>
      </c>
    </row>
    <row r="9" spans="1:6" ht="19.5" customHeight="1">
      <c r="B9" s="580"/>
      <c r="C9" s="593" t="s">
        <v>176</v>
      </c>
      <c r="D9" s="590">
        <v>21340</v>
      </c>
      <c r="E9" s="594" t="s">
        <v>139</v>
      </c>
      <c r="F9" s="595">
        <f>'라. 세출내역서'!H74</f>
        <v>440000</v>
      </c>
    </row>
    <row r="10" spans="1:6" ht="19.5" customHeight="1">
      <c r="B10" s="580"/>
      <c r="C10" s="589"/>
      <c r="D10" s="596"/>
      <c r="E10" s="594" t="s">
        <v>218</v>
      </c>
      <c r="F10" s="595">
        <f>'라. 세출내역서'!H94</f>
        <v>4460000</v>
      </c>
    </row>
    <row r="11" spans="1:6" ht="19.5" customHeight="1">
      <c r="B11" s="580"/>
      <c r="C11" s="589"/>
      <c r="D11" s="597"/>
      <c r="E11" s="594" t="s">
        <v>241</v>
      </c>
      <c r="F11" s="595">
        <f>'라. 세출내역서'!H113</f>
        <v>4942000</v>
      </c>
    </row>
    <row r="12" spans="1:6" ht="19.5" customHeight="1">
      <c r="B12" s="580"/>
      <c r="C12" s="593"/>
      <c r="D12" s="598"/>
      <c r="E12" s="591" t="s">
        <v>109</v>
      </c>
      <c r="F12" s="592">
        <v>21340</v>
      </c>
    </row>
    <row r="13" spans="1:6" ht="19.5" customHeight="1">
      <c r="B13" s="580"/>
      <c r="C13" s="599"/>
      <c r="D13" s="600"/>
      <c r="E13" s="601" t="s">
        <v>323</v>
      </c>
      <c r="F13" s="592">
        <f>'라. 세출내역서'!H154</f>
        <v>5840530</v>
      </c>
    </row>
    <row r="14" spans="1:6" ht="21.75" customHeight="1">
      <c r="B14" s="602" t="s">
        <v>102</v>
      </c>
      <c r="C14" s="603" t="s">
        <v>418</v>
      </c>
      <c r="D14" s="604">
        <f>SUM(D15:D18)</f>
        <v>27039130</v>
      </c>
      <c r="E14" s="605" t="s">
        <v>418</v>
      </c>
      <c r="F14" s="606">
        <f>SUM(F15:F22)</f>
        <v>27039130</v>
      </c>
    </row>
    <row r="15" spans="1:6" ht="19.5" customHeight="1">
      <c r="B15" s="580"/>
      <c r="C15" s="607" t="s">
        <v>416</v>
      </c>
      <c r="D15" s="608">
        <f>'다. 세입내역서'!E7</f>
        <v>19200000</v>
      </c>
      <c r="E15" s="591" t="s">
        <v>242</v>
      </c>
      <c r="F15" s="592">
        <f>'라. 세출내역서'!J8</f>
        <v>4074060</v>
      </c>
    </row>
    <row r="16" spans="1:6" ht="27.75" customHeight="1">
      <c r="B16" s="580"/>
      <c r="C16" s="593" t="s">
        <v>413</v>
      </c>
      <c r="D16" s="598">
        <v>0</v>
      </c>
      <c r="E16" s="591" t="s">
        <v>433</v>
      </c>
      <c r="F16" s="592">
        <f>'라. 세출내역서'!J39</f>
        <v>140000</v>
      </c>
    </row>
    <row r="17" spans="2:8" ht="19.5" customHeight="1">
      <c r="B17" s="580"/>
      <c r="C17" s="593" t="s">
        <v>119</v>
      </c>
      <c r="D17" s="608">
        <f>'다. 세입내역서'!E30</f>
        <v>7763286</v>
      </c>
      <c r="E17" s="609" t="s">
        <v>237</v>
      </c>
      <c r="F17" s="592">
        <f>'라. 세출내역서'!J48</f>
        <v>7620000</v>
      </c>
    </row>
    <row r="18" spans="2:8" ht="19.5" customHeight="1">
      <c r="B18" s="580"/>
      <c r="C18" s="593" t="s">
        <v>176</v>
      </c>
      <c r="D18" s="598">
        <v>75844</v>
      </c>
      <c r="E18" s="594" t="s">
        <v>139</v>
      </c>
      <c r="F18" s="595">
        <f>'라. 세출내역서'!J75</f>
        <v>1810000</v>
      </c>
    </row>
    <row r="19" spans="2:8" ht="19.5" customHeight="1">
      <c r="B19" s="580"/>
      <c r="C19" s="610"/>
      <c r="D19" s="597"/>
      <c r="E19" s="594" t="s">
        <v>218</v>
      </c>
      <c r="F19" s="595">
        <f>'라. 세출내역서'!J94</f>
        <v>10280000</v>
      </c>
    </row>
    <row r="20" spans="2:8" ht="19.5" customHeight="1">
      <c r="B20" s="580"/>
      <c r="C20" s="610"/>
      <c r="D20" s="597"/>
      <c r="E20" s="594" t="s">
        <v>241</v>
      </c>
      <c r="F20" s="595">
        <f>'라. 세출내역서'!J113</f>
        <v>3062000</v>
      </c>
      <c r="H20" s="611"/>
    </row>
    <row r="21" spans="2:8" ht="19.5" customHeight="1">
      <c r="B21" s="580"/>
      <c r="C21" s="610"/>
      <c r="D21" s="597"/>
      <c r="E21" s="612" t="s">
        <v>109</v>
      </c>
      <c r="F21" s="595">
        <f>'라. 세출내역서'!J150</f>
        <v>53070</v>
      </c>
    </row>
    <row r="22" spans="2:8" ht="21.75" customHeight="1">
      <c r="B22" s="580"/>
      <c r="C22" s="613"/>
      <c r="D22" s="614"/>
      <c r="E22" s="615" t="s">
        <v>154</v>
      </c>
      <c r="F22" s="616">
        <f>'라. 세출내역서'!J151</f>
        <v>0</v>
      </c>
    </row>
    <row r="23" spans="2:8" ht="21.75" customHeight="1">
      <c r="B23" s="602" t="s">
        <v>120</v>
      </c>
      <c r="C23" s="603" t="s">
        <v>418</v>
      </c>
      <c r="D23" s="604">
        <f>SUM(D24:D25)</f>
        <v>0</v>
      </c>
      <c r="E23" s="605" t="s">
        <v>418</v>
      </c>
      <c r="F23" s="606">
        <f>SUM(F24:F25)</f>
        <v>0</v>
      </c>
    </row>
    <row r="24" spans="2:8" ht="19.5" customHeight="1">
      <c r="B24" s="580" t="s">
        <v>144</v>
      </c>
      <c r="C24" s="607" t="s">
        <v>428</v>
      </c>
      <c r="D24" s="608">
        <f>'다. 세입내역서'!E25</f>
        <v>0</v>
      </c>
      <c r="E24" s="591" t="s">
        <v>242</v>
      </c>
      <c r="F24" s="592">
        <f>'라. 세출내역서'!I8</f>
        <v>0</v>
      </c>
    </row>
    <row r="25" spans="2:8" ht="27.75" customHeight="1">
      <c r="B25" s="580"/>
      <c r="C25" s="593" t="s">
        <v>119</v>
      </c>
      <c r="D25" s="598">
        <v>0</v>
      </c>
      <c r="E25" s="591"/>
      <c r="F25" s="592"/>
    </row>
    <row r="26" spans="2:8" ht="19.5" customHeight="1">
      <c r="B26" s="602" t="s">
        <v>161</v>
      </c>
      <c r="C26" s="603" t="s">
        <v>418</v>
      </c>
      <c r="D26" s="604">
        <f>SUM(D27:D31)</f>
        <v>0</v>
      </c>
      <c r="E26" s="605" t="s">
        <v>418</v>
      </c>
      <c r="F26" s="606">
        <f>SUM(F27:F32)</f>
        <v>0</v>
      </c>
    </row>
    <row r="27" spans="2:8" ht="19.5" customHeight="1">
      <c r="B27" s="580"/>
      <c r="C27" s="607" t="s">
        <v>439</v>
      </c>
      <c r="D27" s="608">
        <f>'다. 세입내역서'!E21</f>
        <v>0</v>
      </c>
      <c r="E27" s="587" t="s">
        <v>242</v>
      </c>
      <c r="F27" s="588">
        <f>'라. 세출내역서'!K8</f>
        <v>0</v>
      </c>
    </row>
    <row r="28" spans="2:8" ht="19.5" customHeight="1">
      <c r="B28" s="580"/>
      <c r="C28" s="610" t="s">
        <v>119</v>
      </c>
      <c r="D28" s="597">
        <f>'다. 세입내역서'!E31</f>
        <v>0</v>
      </c>
      <c r="E28" s="591" t="s">
        <v>237</v>
      </c>
      <c r="F28" s="592">
        <f>'라. 세출내역서'!K48</f>
        <v>0</v>
      </c>
    </row>
    <row r="29" spans="2:8" ht="19.5" customHeight="1">
      <c r="B29" s="580"/>
      <c r="C29" s="610" t="s">
        <v>176</v>
      </c>
      <c r="D29" s="597">
        <v>0</v>
      </c>
      <c r="E29" s="594" t="s">
        <v>139</v>
      </c>
      <c r="F29" s="595">
        <f>'라. 세출내역서'!K74</f>
        <v>0</v>
      </c>
    </row>
    <row r="30" spans="2:8" ht="19.5" customHeight="1">
      <c r="B30" s="580"/>
      <c r="C30" s="610"/>
      <c r="D30" s="597"/>
      <c r="E30" s="594" t="s">
        <v>218</v>
      </c>
      <c r="F30" s="595">
        <f>'라. 세출내역서'!K94</f>
        <v>0</v>
      </c>
    </row>
    <row r="31" spans="2:8" ht="19.5" customHeight="1">
      <c r="B31" s="580"/>
      <c r="C31" s="610"/>
      <c r="D31" s="597"/>
      <c r="E31" s="612" t="s">
        <v>241</v>
      </c>
      <c r="F31" s="595">
        <f>'라. 세출내역서'!K113</f>
        <v>0</v>
      </c>
    </row>
    <row r="32" spans="2:8" ht="18" customHeight="1">
      <c r="B32" s="617"/>
      <c r="C32" s="618"/>
      <c r="D32" s="619"/>
      <c r="E32" s="620" t="s">
        <v>109</v>
      </c>
      <c r="F32" s="621">
        <f>'라. 세출내역서'!K148</f>
        <v>0</v>
      </c>
    </row>
    <row r="33" spans="5:6" ht="18" customHeight="1">
      <c r="E33" s="972"/>
      <c r="F33" s="972"/>
    </row>
  </sheetData>
  <mergeCells count="7">
    <mergeCell ref="B1:F1"/>
    <mergeCell ref="E33:F33"/>
    <mergeCell ref="E3:F3"/>
    <mergeCell ref="C4:D4"/>
    <mergeCell ref="E4:F4"/>
    <mergeCell ref="C5:D5"/>
    <mergeCell ref="E5:F5"/>
  </mergeCells>
  <phoneticPr fontId="65" type="noConversion"/>
  <printOptions horizontalCentered="1"/>
  <pageMargins left="0.35430556535720825" right="0.35430556535720825" top="0.98416668176651001" bottom="0.98416668176651001" header="0.51152777671813965" footer="0.51152777671813965"/>
  <pageSetup paperSize="9" scale="95" orientation="portrait" r:id="rId1"/>
</worksheet>
</file>

<file path=xl/worksheets/sheet10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10">
    <pageSetUpPr fitToPage="1"/>
  </sheetPr>
  <dimension ref="A1:P55"/>
  <sheetViews>
    <sheetView view="pageBreakPreview" zoomScaleNormal="100" zoomScaleSheetLayoutView="100" workbookViewId="0">
      <selection activeCell="P19" sqref="P19"/>
    </sheetView>
  </sheetViews>
  <sheetFormatPr defaultColWidth="9" defaultRowHeight="13.5"/>
  <cols>
    <col min="1" max="2" width="9" style="461" customWidth="1"/>
    <col min="3" max="3" width="15" style="461" customWidth="1"/>
    <col min="4" max="4" width="10" style="461" customWidth="1"/>
    <col min="5" max="5" width="11.875" style="461" customWidth="1"/>
    <col min="6" max="6" width="11" style="461" customWidth="1"/>
    <col min="7" max="7" width="10" style="461" customWidth="1"/>
    <col min="8" max="8" width="29.25" style="461" customWidth="1"/>
    <col min="9" max="9" width="9" style="461"/>
    <col min="10" max="10" width="9" style="461" customWidth="1"/>
    <col min="11" max="11" width="14.5" style="461" customWidth="1"/>
    <col min="12" max="12" width="10.875" style="461" customWidth="1"/>
    <col min="13" max="13" width="13" style="461" customWidth="1"/>
    <col min="14" max="14" width="11.125" style="461" customWidth="1"/>
    <col min="15" max="15" width="9" style="461"/>
    <col min="16" max="16" width="29.75" style="462" customWidth="1"/>
    <col min="17" max="16384" width="9" style="461"/>
  </cols>
  <sheetData>
    <row r="1" spans="1:16" ht="11.25" customHeight="1"/>
    <row r="2" spans="1:16" ht="14.25">
      <c r="A2" s="988" t="s">
        <v>30</v>
      </c>
      <c r="B2" s="988"/>
      <c r="C2" s="988"/>
      <c r="D2" s="988"/>
      <c r="E2" s="988"/>
      <c r="F2" s="988"/>
      <c r="G2" s="988"/>
      <c r="H2" s="988"/>
      <c r="I2" s="988"/>
      <c r="J2" s="988"/>
      <c r="K2" s="988"/>
      <c r="L2" s="988"/>
      <c r="M2" s="988"/>
      <c r="N2" s="988"/>
      <c r="O2" s="988"/>
      <c r="P2" s="988"/>
    </row>
    <row r="3" spans="1:16" ht="14.25" customHeight="1">
      <c r="A3" s="463"/>
      <c r="B3" s="463"/>
      <c r="C3" s="463"/>
      <c r="D3" s="463"/>
      <c r="E3" s="463"/>
      <c r="F3" s="463"/>
      <c r="G3" s="463"/>
      <c r="H3" s="463"/>
      <c r="I3" s="463"/>
      <c r="J3" s="463"/>
      <c r="K3" s="463"/>
      <c r="L3" s="463"/>
      <c r="M3" s="463"/>
      <c r="N3" s="463"/>
      <c r="O3" s="464"/>
      <c r="P3" s="465" t="s">
        <v>210</v>
      </c>
    </row>
    <row r="4" spans="1:16" ht="15" customHeight="1">
      <c r="A4" s="984" t="s">
        <v>510</v>
      </c>
      <c r="B4" s="832"/>
      <c r="C4" s="832"/>
      <c r="D4" s="832"/>
      <c r="E4" s="832"/>
      <c r="F4" s="832"/>
      <c r="G4" s="832"/>
      <c r="H4" s="832"/>
      <c r="I4" s="985" t="s">
        <v>526</v>
      </c>
      <c r="J4" s="832"/>
      <c r="K4" s="832"/>
      <c r="L4" s="832"/>
      <c r="M4" s="832"/>
      <c r="N4" s="832"/>
      <c r="O4" s="832"/>
      <c r="P4" s="840"/>
    </row>
    <row r="5" spans="1:16" ht="15" customHeight="1">
      <c r="A5" s="843" t="s">
        <v>300</v>
      </c>
      <c r="B5" s="837"/>
      <c r="C5" s="837"/>
      <c r="D5" s="834" t="str">
        <f>'나. 세입세출(총괄)'!D5</f>
        <v>2024년
본 예산(A)</v>
      </c>
      <c r="E5" s="834" t="str">
        <f>'나. 세입세출(총괄)'!E5</f>
        <v>2024년 
1차 추경(B)</v>
      </c>
      <c r="F5" s="911" t="s">
        <v>15</v>
      </c>
      <c r="G5" s="913" t="s">
        <v>518</v>
      </c>
      <c r="H5" s="848" t="s">
        <v>434</v>
      </c>
      <c r="I5" s="836" t="s">
        <v>300</v>
      </c>
      <c r="J5" s="837"/>
      <c r="K5" s="837"/>
      <c r="L5" s="834" t="str">
        <f>'나. 세입세출(총괄)'!D5</f>
        <v>2024년
본 예산(A)</v>
      </c>
      <c r="M5" s="834" t="str">
        <f>'나. 세입세출(총괄)'!E5</f>
        <v>2024년 
1차 추경(B)</v>
      </c>
      <c r="N5" s="911" t="s">
        <v>15</v>
      </c>
      <c r="O5" s="913" t="s">
        <v>518</v>
      </c>
      <c r="P5" s="986" t="s">
        <v>434</v>
      </c>
    </row>
    <row r="6" spans="1:16" ht="15" customHeight="1">
      <c r="A6" s="466" t="s">
        <v>127</v>
      </c>
      <c r="B6" s="467" t="s">
        <v>110</v>
      </c>
      <c r="C6" s="467" t="s">
        <v>145</v>
      </c>
      <c r="D6" s="835"/>
      <c r="E6" s="835"/>
      <c r="F6" s="912"/>
      <c r="G6" s="914"/>
      <c r="H6" s="849"/>
      <c r="I6" s="468" t="s">
        <v>127</v>
      </c>
      <c r="J6" s="469" t="s">
        <v>110</v>
      </c>
      <c r="K6" s="470" t="s">
        <v>145</v>
      </c>
      <c r="L6" s="835"/>
      <c r="M6" s="835"/>
      <c r="N6" s="912"/>
      <c r="O6" s="914"/>
      <c r="P6" s="987"/>
    </row>
    <row r="7" spans="1:16" ht="18" customHeight="1">
      <c r="A7" s="982" t="s">
        <v>27</v>
      </c>
      <c r="B7" s="983"/>
      <c r="C7" s="983"/>
      <c r="D7" s="471">
        <f>D8+D11+D14+D17+D22+D26+D29+D34</f>
        <v>148045000</v>
      </c>
      <c r="E7" s="471">
        <f>SUM(E8,E11,E14,E17,E22,E26,E29,E34)</f>
        <v>133326000</v>
      </c>
      <c r="F7" s="471">
        <f>E7-D7</f>
        <v>-14719000</v>
      </c>
      <c r="G7" s="472">
        <f>F7/D7*100</f>
        <v>-9.9422472896754357</v>
      </c>
      <c r="H7" s="473"/>
      <c r="I7" s="846" t="s">
        <v>27</v>
      </c>
      <c r="J7" s="847"/>
      <c r="K7" s="847"/>
      <c r="L7" s="471">
        <f>L8+L26+L31+L49+L52</f>
        <v>148045000</v>
      </c>
      <c r="M7" s="471">
        <f>SUM(M8,M26,M31,M49,M52)</f>
        <v>133326000</v>
      </c>
      <c r="N7" s="474">
        <f>M7-L7</f>
        <v>-14719000</v>
      </c>
      <c r="O7" s="475">
        <f>N7/L7*100</f>
        <v>-9.9422472896754357</v>
      </c>
      <c r="P7" s="476"/>
    </row>
    <row r="8" spans="1:16" ht="23.25" customHeight="1">
      <c r="A8" s="477" t="s">
        <v>432</v>
      </c>
      <c r="B8" s="478" t="s">
        <v>114</v>
      </c>
      <c r="C8" s="478"/>
      <c r="D8" s="479">
        <f>D9</f>
        <v>19200000</v>
      </c>
      <c r="E8" s="479">
        <f>E9</f>
        <v>19200000</v>
      </c>
      <c r="F8" s="479">
        <f>E8-D8</f>
        <v>0</v>
      </c>
      <c r="G8" s="480">
        <f t="shared" ref="G8:G38" si="0">F8/D8*100</f>
        <v>0</v>
      </c>
      <c r="H8" s="481"/>
      <c r="I8" s="482" t="s">
        <v>163</v>
      </c>
      <c r="J8" s="483" t="s">
        <v>114</v>
      </c>
      <c r="K8" s="483"/>
      <c r="L8" s="479">
        <f>L9+L16+L19</f>
        <v>122066660</v>
      </c>
      <c r="M8" s="484">
        <f>M9+M16+M19</f>
        <v>102417060</v>
      </c>
      <c r="N8" s="484">
        <f>M8-L8</f>
        <v>-19649600</v>
      </c>
      <c r="O8" s="485">
        <f t="shared" ref="O8:O41" si="1">N8/L8*100</f>
        <v>-16.097433975829272</v>
      </c>
      <c r="P8" s="486"/>
    </row>
    <row r="9" spans="1:16" ht="23.25" customHeight="1">
      <c r="A9" s="487"/>
      <c r="B9" s="488" t="s">
        <v>416</v>
      </c>
      <c r="C9" s="488" t="s">
        <v>164</v>
      </c>
      <c r="D9" s="489">
        <f>D10</f>
        <v>19200000</v>
      </c>
      <c r="E9" s="489">
        <f>E10</f>
        <v>19200000</v>
      </c>
      <c r="F9" s="489">
        <f>E9-D9</f>
        <v>0</v>
      </c>
      <c r="G9" s="490">
        <f t="shared" si="0"/>
        <v>0</v>
      </c>
      <c r="H9" s="491"/>
      <c r="I9" s="492"/>
      <c r="J9" s="493" t="s">
        <v>155</v>
      </c>
      <c r="K9" s="493" t="s">
        <v>164</v>
      </c>
      <c r="L9" s="489">
        <f>SUM(L10:L15)</f>
        <v>111706660</v>
      </c>
      <c r="M9" s="494">
        <f>SUM(M10:M15)</f>
        <v>92057060</v>
      </c>
      <c r="N9" s="494">
        <f>M9-L9</f>
        <v>-19649600</v>
      </c>
      <c r="O9" s="495">
        <f t="shared" si="1"/>
        <v>-17.590356743277439</v>
      </c>
      <c r="P9" s="496"/>
    </row>
    <row r="10" spans="1:16" ht="23.25" customHeight="1">
      <c r="A10" s="487"/>
      <c r="B10" s="497"/>
      <c r="C10" s="497" t="s">
        <v>416</v>
      </c>
      <c r="D10" s="498">
        <f>'나. 세입세출(총괄)'!D10</f>
        <v>19200000</v>
      </c>
      <c r="E10" s="498">
        <f>'나. 세입세출(총괄)'!E10</f>
        <v>19200000</v>
      </c>
      <c r="F10" s="498">
        <f>E10-D10</f>
        <v>0</v>
      </c>
      <c r="G10" s="499">
        <f t="shared" si="0"/>
        <v>0</v>
      </c>
      <c r="H10" s="460"/>
      <c r="I10" s="492"/>
      <c r="J10" s="500"/>
      <c r="K10" s="500" t="s">
        <v>113</v>
      </c>
      <c r="L10" s="498">
        <f>'나. 세입세출(총괄)'!K10</f>
        <v>75315900</v>
      </c>
      <c r="M10" s="498">
        <f>'나. 세입세출(총괄)'!L10</f>
        <v>65999100</v>
      </c>
      <c r="N10" s="498">
        <f>M10-L10</f>
        <v>-9316800</v>
      </c>
      <c r="O10" s="501">
        <f t="shared" si="1"/>
        <v>-12.370296311934133</v>
      </c>
      <c r="P10" s="459" t="s">
        <v>541</v>
      </c>
    </row>
    <row r="11" spans="1:16" ht="23.25" customHeight="1">
      <c r="A11" s="502" t="s">
        <v>413</v>
      </c>
      <c r="B11" s="503" t="s">
        <v>114</v>
      </c>
      <c r="C11" s="503"/>
      <c r="D11" s="504">
        <f>D12</f>
        <v>0</v>
      </c>
      <c r="E11" s="504">
        <f>E12</f>
        <v>0</v>
      </c>
      <c r="F11" s="504">
        <v>0</v>
      </c>
      <c r="G11" s="505">
        <v>0</v>
      </c>
      <c r="H11" s="506"/>
      <c r="I11" s="492"/>
      <c r="J11" s="500"/>
      <c r="K11" s="500" t="s">
        <v>411</v>
      </c>
      <c r="L11" s="498">
        <f>'나. 세입세출(총괄)'!K11</f>
        <v>0</v>
      </c>
      <c r="M11" s="498">
        <f>'나. 세입세출(총괄)'!L11</f>
        <v>0</v>
      </c>
      <c r="N11" s="498">
        <f t="shared" ref="N11:N15" si="2">M11-L11</f>
        <v>0</v>
      </c>
      <c r="O11" s="501">
        <v>0</v>
      </c>
      <c r="P11" s="507"/>
    </row>
    <row r="12" spans="1:16" ht="23.25" customHeight="1">
      <c r="A12" s="487"/>
      <c r="B12" s="488" t="s">
        <v>413</v>
      </c>
      <c r="C12" s="488" t="s">
        <v>164</v>
      </c>
      <c r="D12" s="489">
        <f>D13</f>
        <v>0</v>
      </c>
      <c r="E12" s="489">
        <f>E13</f>
        <v>0</v>
      </c>
      <c r="F12" s="489">
        <v>0</v>
      </c>
      <c r="G12" s="490">
        <v>0</v>
      </c>
      <c r="H12" s="508"/>
      <c r="I12" s="492"/>
      <c r="J12" s="500"/>
      <c r="K12" s="500" t="s">
        <v>130</v>
      </c>
      <c r="L12" s="498">
        <f>'나. 세입세출(총괄)'!K12</f>
        <v>18806420</v>
      </c>
      <c r="M12" s="498">
        <f>'나. 세입세출(총괄)'!L12</f>
        <v>15509220</v>
      </c>
      <c r="N12" s="498">
        <f t="shared" si="2"/>
        <v>-3297200</v>
      </c>
      <c r="O12" s="509">
        <f t="shared" si="1"/>
        <v>-17.532310774724802</v>
      </c>
      <c r="P12" s="459" t="s">
        <v>541</v>
      </c>
    </row>
    <row r="13" spans="1:16" ht="23.25" customHeight="1">
      <c r="A13" s="487"/>
      <c r="B13" s="497"/>
      <c r="C13" s="497" t="s">
        <v>208</v>
      </c>
      <c r="D13" s="498">
        <f>'나. 세입세출(총괄)'!D13</f>
        <v>0</v>
      </c>
      <c r="E13" s="498">
        <f>'나. 세입세출(총괄)'!E13</f>
        <v>0</v>
      </c>
      <c r="F13" s="498">
        <v>0</v>
      </c>
      <c r="G13" s="499">
        <v>0</v>
      </c>
      <c r="H13" s="460"/>
      <c r="I13" s="492"/>
      <c r="J13" s="500"/>
      <c r="K13" s="500" t="s">
        <v>204</v>
      </c>
      <c r="L13" s="498">
        <f>'나. 세입세출(총괄)'!K13</f>
        <v>7843530</v>
      </c>
      <c r="M13" s="498">
        <f>'나. 세입세출(총괄)'!L13</f>
        <v>6792360</v>
      </c>
      <c r="N13" s="498">
        <f t="shared" si="2"/>
        <v>-1051170</v>
      </c>
      <c r="O13" s="501">
        <f t="shared" si="1"/>
        <v>-13.401746407548643</v>
      </c>
      <c r="P13" s="459" t="s">
        <v>541</v>
      </c>
    </row>
    <row r="14" spans="1:16" ht="23.25" customHeight="1">
      <c r="A14" s="502" t="s">
        <v>425</v>
      </c>
      <c r="B14" s="503" t="s">
        <v>114</v>
      </c>
      <c r="C14" s="503"/>
      <c r="D14" s="504">
        <f>D15</f>
        <v>0</v>
      </c>
      <c r="E14" s="504">
        <v>0</v>
      </c>
      <c r="F14" s="504">
        <v>0</v>
      </c>
      <c r="G14" s="505">
        <v>0</v>
      </c>
      <c r="H14" s="506"/>
      <c r="I14" s="492"/>
      <c r="J14" s="500"/>
      <c r="K14" s="500" t="s">
        <v>199</v>
      </c>
      <c r="L14" s="498">
        <f>'나. 세입세출(총괄)'!K14</f>
        <v>9740810</v>
      </c>
      <c r="M14" s="498">
        <f>'나. 세입세출(총괄)'!L14</f>
        <v>3756380</v>
      </c>
      <c r="N14" s="498">
        <f t="shared" si="2"/>
        <v>-5984430</v>
      </c>
      <c r="O14" s="501">
        <f t="shared" si="1"/>
        <v>-61.436677237313944</v>
      </c>
      <c r="P14" s="459" t="s">
        <v>541</v>
      </c>
    </row>
    <row r="15" spans="1:16" ht="23.25" customHeight="1">
      <c r="A15" s="487"/>
      <c r="B15" s="488" t="s">
        <v>425</v>
      </c>
      <c r="C15" s="488" t="s">
        <v>164</v>
      </c>
      <c r="D15" s="489">
        <f>D16</f>
        <v>0</v>
      </c>
      <c r="E15" s="489">
        <v>0</v>
      </c>
      <c r="F15" s="489">
        <v>0</v>
      </c>
      <c r="G15" s="490">
        <v>0</v>
      </c>
      <c r="H15" s="510"/>
      <c r="I15" s="492"/>
      <c r="J15" s="500"/>
      <c r="K15" s="500" t="s">
        <v>446</v>
      </c>
      <c r="L15" s="498">
        <f>'나. 세입세출(총괄)'!K15</f>
        <v>0</v>
      </c>
      <c r="M15" s="498">
        <f>'나. 세입세출(총괄)'!L15</f>
        <v>0</v>
      </c>
      <c r="N15" s="498">
        <f t="shared" si="2"/>
        <v>0</v>
      </c>
      <c r="O15" s="501">
        <v>0</v>
      </c>
      <c r="P15" s="511"/>
    </row>
    <row r="16" spans="1:16" ht="23.25" customHeight="1">
      <c r="A16" s="487"/>
      <c r="B16" s="497"/>
      <c r="C16" s="497" t="s">
        <v>425</v>
      </c>
      <c r="D16" s="498">
        <f>'나. 세입세출(총괄)'!D16</f>
        <v>0</v>
      </c>
      <c r="E16" s="498">
        <f>'나. 세입세출(총괄)'!E16</f>
        <v>0</v>
      </c>
      <c r="F16" s="498">
        <v>0</v>
      </c>
      <c r="G16" s="499">
        <v>0</v>
      </c>
      <c r="H16" s="460"/>
      <c r="I16" s="492"/>
      <c r="J16" s="493" t="s">
        <v>433</v>
      </c>
      <c r="K16" s="493" t="s">
        <v>164</v>
      </c>
      <c r="L16" s="489">
        <f>SUM(L17:L18)</f>
        <v>140000</v>
      </c>
      <c r="M16" s="489">
        <f>SUM(M17:M18)</f>
        <v>140000</v>
      </c>
      <c r="N16" s="489">
        <f>M16-L16</f>
        <v>0</v>
      </c>
      <c r="O16" s="495">
        <f t="shared" si="1"/>
        <v>0</v>
      </c>
      <c r="P16" s="512"/>
    </row>
    <row r="17" spans="1:16" ht="23.25" customHeight="1">
      <c r="A17" s="502" t="s">
        <v>423</v>
      </c>
      <c r="B17" s="503" t="s">
        <v>114</v>
      </c>
      <c r="C17" s="503"/>
      <c r="D17" s="504">
        <f>D18</f>
        <v>123748660</v>
      </c>
      <c r="E17" s="504">
        <f>E18</f>
        <v>100425000</v>
      </c>
      <c r="F17" s="504">
        <f t="shared" ref="F17:F31" si="3">E17-D17</f>
        <v>-23323660</v>
      </c>
      <c r="G17" s="505">
        <f>F17/D17*100</f>
        <v>-18.84760610741159</v>
      </c>
      <c r="H17" s="506"/>
      <c r="I17" s="492"/>
      <c r="J17" s="500"/>
      <c r="K17" s="500" t="s">
        <v>461</v>
      </c>
      <c r="L17" s="498">
        <f>'나. 세입세출(총괄)'!K17</f>
        <v>0</v>
      </c>
      <c r="M17" s="498">
        <f>'나. 세입세출(총괄)'!L17</f>
        <v>0</v>
      </c>
      <c r="N17" s="498">
        <f t="shared" ref="N17:N18" si="4">M17-L17</f>
        <v>0</v>
      </c>
      <c r="O17" s="501">
        <v>0</v>
      </c>
      <c r="P17" s="511"/>
    </row>
    <row r="18" spans="1:16" ht="23.25" customHeight="1">
      <c r="A18" s="487"/>
      <c r="B18" s="488" t="s">
        <v>423</v>
      </c>
      <c r="C18" s="488" t="s">
        <v>164</v>
      </c>
      <c r="D18" s="489">
        <f>SUM(D19:D21)</f>
        <v>123748660</v>
      </c>
      <c r="E18" s="489">
        <f>SUM(E19:E21)</f>
        <v>100425000</v>
      </c>
      <c r="F18" s="489">
        <f t="shared" si="3"/>
        <v>-23323660</v>
      </c>
      <c r="G18" s="490">
        <f>F18/D18*100</f>
        <v>-18.84760610741159</v>
      </c>
      <c r="H18" s="510"/>
      <c r="I18" s="492"/>
      <c r="J18" s="500"/>
      <c r="K18" s="500" t="s">
        <v>172</v>
      </c>
      <c r="L18" s="498">
        <f>'나. 세입세출(총괄)'!K18</f>
        <v>140000</v>
      </c>
      <c r="M18" s="498">
        <f>'나. 세입세출(총괄)'!L18</f>
        <v>140000</v>
      </c>
      <c r="N18" s="498">
        <f t="shared" si="4"/>
        <v>0</v>
      </c>
      <c r="O18" s="501">
        <v>0</v>
      </c>
      <c r="P18" s="511"/>
    </row>
    <row r="19" spans="1:16" ht="23.25" customHeight="1">
      <c r="A19" s="487"/>
      <c r="B19" s="497"/>
      <c r="C19" s="497" t="s">
        <v>220</v>
      </c>
      <c r="D19" s="498">
        <f>'나. 세입세출(총괄)'!D19</f>
        <v>123748660</v>
      </c>
      <c r="E19" s="498">
        <f>'나. 세입세출(총괄)'!E19</f>
        <v>100425000</v>
      </c>
      <c r="F19" s="498">
        <f t="shared" si="3"/>
        <v>-23323660</v>
      </c>
      <c r="G19" s="499">
        <f>F19/D19*100</f>
        <v>-18.84760610741159</v>
      </c>
      <c r="H19" s="459" t="s">
        <v>38</v>
      </c>
      <c r="I19" s="492"/>
      <c r="J19" s="493" t="s">
        <v>162</v>
      </c>
      <c r="K19" s="493" t="s">
        <v>164</v>
      </c>
      <c r="L19" s="489">
        <f>SUM(L20:L25)</f>
        <v>10220000</v>
      </c>
      <c r="M19" s="489">
        <f>SUM(M20:M25)</f>
        <v>10220000</v>
      </c>
      <c r="N19" s="489">
        <f>M19-L19</f>
        <v>0</v>
      </c>
      <c r="O19" s="495">
        <f t="shared" si="1"/>
        <v>0</v>
      </c>
      <c r="P19" s="512"/>
    </row>
    <row r="20" spans="1:16" ht="23.25" customHeight="1">
      <c r="A20" s="487"/>
      <c r="B20" s="497"/>
      <c r="C20" s="497" t="s">
        <v>238</v>
      </c>
      <c r="D20" s="498">
        <f>'나. 세입세출(총괄)'!D20</f>
        <v>0</v>
      </c>
      <c r="E20" s="498">
        <f>'나. 세입세출(총괄)'!E20</f>
        <v>0</v>
      </c>
      <c r="F20" s="498">
        <f t="shared" si="3"/>
        <v>0</v>
      </c>
      <c r="G20" s="499">
        <v>0</v>
      </c>
      <c r="H20" s="460"/>
      <c r="I20" s="492"/>
      <c r="J20" s="500"/>
      <c r="K20" s="500" t="s">
        <v>147</v>
      </c>
      <c r="L20" s="498">
        <f>'나. 세입세출(총괄)'!K20</f>
        <v>0</v>
      </c>
      <c r="M20" s="498">
        <f>'나. 세입세출(총괄)'!L20</f>
        <v>0</v>
      </c>
      <c r="N20" s="498">
        <f t="shared" ref="N20:N25" si="5">M20-L20</f>
        <v>0</v>
      </c>
      <c r="O20" s="501">
        <v>0</v>
      </c>
      <c r="P20" s="511"/>
    </row>
    <row r="21" spans="1:16" ht="23.25" customHeight="1">
      <c r="A21" s="487"/>
      <c r="B21" s="497"/>
      <c r="C21" s="497" t="s">
        <v>490</v>
      </c>
      <c r="D21" s="498">
        <f>'나. 세입세출(총괄)'!D21</f>
        <v>0</v>
      </c>
      <c r="E21" s="498">
        <f>'나. 세입세출(총괄)'!E21</f>
        <v>0</v>
      </c>
      <c r="F21" s="498">
        <f t="shared" si="3"/>
        <v>0</v>
      </c>
      <c r="G21" s="499">
        <v>0</v>
      </c>
      <c r="H21" s="460"/>
      <c r="I21" s="492"/>
      <c r="J21" s="500"/>
      <c r="K21" s="500" t="s">
        <v>458</v>
      </c>
      <c r="L21" s="498">
        <f>'나. 세입세출(총괄)'!K21</f>
        <v>3900000</v>
      </c>
      <c r="M21" s="498">
        <f>'나. 세입세출(총괄)'!L21</f>
        <v>3900000</v>
      </c>
      <c r="N21" s="498">
        <f t="shared" si="5"/>
        <v>0</v>
      </c>
      <c r="O21" s="501">
        <f t="shared" si="1"/>
        <v>0</v>
      </c>
      <c r="P21" s="460"/>
    </row>
    <row r="22" spans="1:16" ht="23.25" customHeight="1">
      <c r="A22" s="502" t="s">
        <v>161</v>
      </c>
      <c r="B22" s="503" t="s">
        <v>114</v>
      </c>
      <c r="C22" s="503"/>
      <c r="D22" s="504">
        <f>D23</f>
        <v>0</v>
      </c>
      <c r="E22" s="504">
        <f>E23</f>
        <v>0</v>
      </c>
      <c r="F22" s="504">
        <f t="shared" si="3"/>
        <v>0</v>
      </c>
      <c r="G22" s="505">
        <v>0</v>
      </c>
      <c r="H22" s="506"/>
      <c r="I22" s="492"/>
      <c r="J22" s="500"/>
      <c r="K22" s="500" t="s">
        <v>445</v>
      </c>
      <c r="L22" s="498">
        <f>'나. 세입세출(총괄)'!K22</f>
        <v>5400000</v>
      </c>
      <c r="M22" s="498">
        <f>'나. 세입세출(총괄)'!L22</f>
        <v>5400000</v>
      </c>
      <c r="N22" s="498">
        <f t="shared" si="5"/>
        <v>0</v>
      </c>
      <c r="O22" s="501">
        <f t="shared" si="1"/>
        <v>0</v>
      </c>
      <c r="P22" s="511"/>
    </row>
    <row r="23" spans="1:16" ht="23.25" customHeight="1">
      <c r="A23" s="487"/>
      <c r="B23" s="488" t="s">
        <v>439</v>
      </c>
      <c r="C23" s="488" t="s">
        <v>164</v>
      </c>
      <c r="D23" s="489">
        <f>SUM(D24:D25)</f>
        <v>0</v>
      </c>
      <c r="E23" s="489">
        <f>SUM(E24:E25)</f>
        <v>0</v>
      </c>
      <c r="F23" s="489">
        <f t="shared" si="3"/>
        <v>0</v>
      </c>
      <c r="G23" s="490">
        <v>0</v>
      </c>
      <c r="H23" s="510"/>
      <c r="I23" s="492"/>
      <c r="J23" s="500"/>
      <c r="K23" s="500" t="s">
        <v>429</v>
      </c>
      <c r="L23" s="498">
        <f>'나. 세입세출(총괄)'!K23</f>
        <v>0</v>
      </c>
      <c r="M23" s="498">
        <f>'나. 세입세출(총괄)'!L23</f>
        <v>0</v>
      </c>
      <c r="N23" s="498">
        <f t="shared" si="5"/>
        <v>0</v>
      </c>
      <c r="O23" s="501">
        <v>0</v>
      </c>
      <c r="P23" s="511"/>
    </row>
    <row r="24" spans="1:16" ht="23.25" customHeight="1">
      <c r="A24" s="513"/>
      <c r="B24" s="514"/>
      <c r="C24" s="497" t="s">
        <v>431</v>
      </c>
      <c r="D24" s="498">
        <f>'나. 세입세출(총괄)'!D24</f>
        <v>0</v>
      </c>
      <c r="E24" s="498">
        <f>'나. 세입세출(총괄)'!E24</f>
        <v>0</v>
      </c>
      <c r="F24" s="498">
        <f t="shared" si="3"/>
        <v>0</v>
      </c>
      <c r="G24" s="499">
        <v>0</v>
      </c>
      <c r="H24" s="460"/>
      <c r="I24" s="492"/>
      <c r="J24" s="500"/>
      <c r="K24" s="500" t="s">
        <v>128</v>
      </c>
      <c r="L24" s="498">
        <f>'나. 세입세출(총괄)'!K24</f>
        <v>920000</v>
      </c>
      <c r="M24" s="498">
        <f>'나. 세입세출(총괄)'!L24</f>
        <v>920000</v>
      </c>
      <c r="N24" s="498">
        <f t="shared" si="5"/>
        <v>0</v>
      </c>
      <c r="O24" s="501">
        <f t="shared" si="1"/>
        <v>0</v>
      </c>
      <c r="P24" s="511"/>
    </row>
    <row r="25" spans="1:16" ht="23.25" customHeight="1">
      <c r="A25" s="487"/>
      <c r="B25" s="497"/>
      <c r="C25" s="497" t="s">
        <v>414</v>
      </c>
      <c r="D25" s="498">
        <f>'나. 세입세출(총괄)'!D25</f>
        <v>0</v>
      </c>
      <c r="E25" s="498">
        <f>'나. 세입세출(총괄)'!E25</f>
        <v>0</v>
      </c>
      <c r="F25" s="498">
        <f t="shared" si="3"/>
        <v>0</v>
      </c>
      <c r="G25" s="499">
        <v>0</v>
      </c>
      <c r="H25" s="460"/>
      <c r="I25" s="492"/>
      <c r="J25" s="500"/>
      <c r="K25" s="500" t="s">
        <v>493</v>
      </c>
      <c r="L25" s="498">
        <f>'나. 세입세출(총괄)'!K25</f>
        <v>0</v>
      </c>
      <c r="M25" s="498">
        <f>'나. 세입세출(총괄)'!L25</f>
        <v>0</v>
      </c>
      <c r="N25" s="498">
        <f t="shared" si="5"/>
        <v>0</v>
      </c>
      <c r="O25" s="501">
        <v>0</v>
      </c>
      <c r="P25" s="511"/>
    </row>
    <row r="26" spans="1:16" ht="23.25" customHeight="1">
      <c r="A26" s="502" t="s">
        <v>144</v>
      </c>
      <c r="B26" s="503" t="s">
        <v>114</v>
      </c>
      <c r="C26" s="503"/>
      <c r="D26" s="504">
        <f>D27</f>
        <v>0</v>
      </c>
      <c r="E26" s="504">
        <f>E27</f>
        <v>0</v>
      </c>
      <c r="F26" s="504">
        <f t="shared" si="3"/>
        <v>0</v>
      </c>
      <c r="G26" s="505">
        <v>0</v>
      </c>
      <c r="H26" s="506"/>
      <c r="I26" s="515" t="s">
        <v>449</v>
      </c>
      <c r="J26" s="516" t="s">
        <v>114</v>
      </c>
      <c r="K26" s="516"/>
      <c r="L26" s="504">
        <f>L27</f>
        <v>2250000</v>
      </c>
      <c r="M26" s="504">
        <f>M27</f>
        <v>2250000</v>
      </c>
      <c r="N26" s="504">
        <f>M26-L26</f>
        <v>0</v>
      </c>
      <c r="O26" s="517">
        <f t="shared" si="1"/>
        <v>0</v>
      </c>
      <c r="P26" s="518"/>
    </row>
    <row r="27" spans="1:16" ht="23.25" customHeight="1">
      <c r="A27" s="487"/>
      <c r="B27" s="488" t="s">
        <v>144</v>
      </c>
      <c r="C27" s="488" t="s">
        <v>164</v>
      </c>
      <c r="D27" s="489">
        <f>D28</f>
        <v>0</v>
      </c>
      <c r="E27" s="489">
        <f>E28</f>
        <v>0</v>
      </c>
      <c r="F27" s="489">
        <f t="shared" si="3"/>
        <v>0</v>
      </c>
      <c r="G27" s="490">
        <v>0</v>
      </c>
      <c r="H27" s="508"/>
      <c r="I27" s="492"/>
      <c r="J27" s="493" t="s">
        <v>139</v>
      </c>
      <c r="K27" s="493" t="s">
        <v>164</v>
      </c>
      <c r="L27" s="489">
        <f>SUM(L28:L30)</f>
        <v>2250000</v>
      </c>
      <c r="M27" s="489">
        <f>SUM(M28:M30)</f>
        <v>2250000</v>
      </c>
      <c r="N27" s="489">
        <f>M27-L27</f>
        <v>0</v>
      </c>
      <c r="O27" s="495">
        <f t="shared" si="1"/>
        <v>0</v>
      </c>
      <c r="P27" s="512"/>
    </row>
    <row r="28" spans="1:16" ht="23.25" customHeight="1">
      <c r="A28" s="487"/>
      <c r="B28" s="497"/>
      <c r="C28" s="497" t="s">
        <v>428</v>
      </c>
      <c r="D28" s="498">
        <f>'나. 세입세출(총괄)'!D28</f>
        <v>0</v>
      </c>
      <c r="E28" s="498">
        <f>'나. 세입세출(총괄)'!E28</f>
        <v>0</v>
      </c>
      <c r="F28" s="498">
        <f t="shared" si="3"/>
        <v>0</v>
      </c>
      <c r="G28" s="499">
        <v>0</v>
      </c>
      <c r="H28" s="519"/>
      <c r="I28" s="492"/>
      <c r="J28" s="500"/>
      <c r="K28" s="500" t="s">
        <v>139</v>
      </c>
      <c r="L28" s="498">
        <f>'나. 세입세출(총괄)'!K28</f>
        <v>0</v>
      </c>
      <c r="M28" s="498">
        <f>'나. 세입세출(총괄)'!L28</f>
        <v>0</v>
      </c>
      <c r="N28" s="498">
        <f t="shared" ref="N28:N30" si="6">M28-L28</f>
        <v>0</v>
      </c>
      <c r="O28" s="501">
        <v>0</v>
      </c>
      <c r="P28" s="511"/>
    </row>
    <row r="29" spans="1:16" ht="23.25" customHeight="1">
      <c r="A29" s="502" t="s">
        <v>119</v>
      </c>
      <c r="B29" s="503" t="s">
        <v>114</v>
      </c>
      <c r="C29" s="503"/>
      <c r="D29" s="504">
        <f>D30</f>
        <v>5000000</v>
      </c>
      <c r="E29" s="504">
        <f>E30</f>
        <v>13603816</v>
      </c>
      <c r="F29" s="504">
        <f t="shared" si="3"/>
        <v>8603816</v>
      </c>
      <c r="G29" s="505">
        <f>F29/D29*100</f>
        <v>172.07631999999998</v>
      </c>
      <c r="H29" s="506"/>
      <c r="I29" s="492"/>
      <c r="J29" s="500"/>
      <c r="K29" s="500" t="s">
        <v>473</v>
      </c>
      <c r="L29" s="498">
        <f>'나. 세입세출(총괄)'!K29</f>
        <v>0</v>
      </c>
      <c r="M29" s="498">
        <f>'나. 세입세출(총괄)'!L29</f>
        <v>0</v>
      </c>
      <c r="N29" s="498">
        <f t="shared" si="6"/>
        <v>0</v>
      </c>
      <c r="O29" s="509">
        <v>0</v>
      </c>
      <c r="P29" s="511"/>
    </row>
    <row r="30" spans="1:16" ht="23.25" customHeight="1">
      <c r="A30" s="487"/>
      <c r="B30" s="488" t="s">
        <v>119</v>
      </c>
      <c r="C30" s="488" t="s">
        <v>164</v>
      </c>
      <c r="D30" s="489">
        <f>SUM(D31:D33)</f>
        <v>5000000</v>
      </c>
      <c r="E30" s="489">
        <f>SUM(E31:E33)</f>
        <v>13603816</v>
      </c>
      <c r="F30" s="489">
        <f t="shared" si="3"/>
        <v>8603816</v>
      </c>
      <c r="G30" s="490">
        <f t="shared" si="0"/>
        <v>172.07631999999998</v>
      </c>
      <c r="H30" s="510"/>
      <c r="I30" s="492"/>
      <c r="J30" s="500"/>
      <c r="K30" s="500" t="s">
        <v>442</v>
      </c>
      <c r="L30" s="498">
        <f>'나. 세입세출(총괄)'!K30</f>
        <v>2250000</v>
      </c>
      <c r="M30" s="498">
        <f>'나. 세입세출(총괄)'!L30</f>
        <v>2250000</v>
      </c>
      <c r="N30" s="498">
        <f t="shared" si="6"/>
        <v>0</v>
      </c>
      <c r="O30" s="501">
        <f t="shared" si="1"/>
        <v>0</v>
      </c>
      <c r="P30" s="511"/>
    </row>
    <row r="31" spans="1:16" ht="23.25" customHeight="1">
      <c r="A31" s="487"/>
      <c r="B31" s="497"/>
      <c r="C31" s="497" t="s">
        <v>247</v>
      </c>
      <c r="D31" s="498">
        <f>'나. 세입세출(총괄)'!D31</f>
        <v>4000000</v>
      </c>
      <c r="E31" s="498">
        <f>'나. 세입세출(총괄)'!E31</f>
        <v>7763286</v>
      </c>
      <c r="F31" s="498">
        <f t="shared" si="3"/>
        <v>3763286</v>
      </c>
      <c r="G31" s="499">
        <f t="shared" si="0"/>
        <v>94.082149999999999</v>
      </c>
      <c r="H31" s="460" t="s">
        <v>182</v>
      </c>
      <c r="I31" s="515" t="s">
        <v>178</v>
      </c>
      <c r="J31" s="516" t="s">
        <v>114</v>
      </c>
      <c r="K31" s="516"/>
      <c r="L31" s="504">
        <f>L32+L38</f>
        <v>22632000</v>
      </c>
      <c r="M31" s="504">
        <f>M32+M38</f>
        <v>22744000</v>
      </c>
      <c r="N31" s="504">
        <f>M31-L31</f>
        <v>112000</v>
      </c>
      <c r="O31" s="517">
        <f t="shared" si="1"/>
        <v>0.49487451396253096</v>
      </c>
      <c r="P31" s="518"/>
    </row>
    <row r="32" spans="1:16" ht="23.25" customHeight="1">
      <c r="A32" s="487"/>
      <c r="B32" s="497"/>
      <c r="C32" s="497" t="s">
        <v>252</v>
      </c>
      <c r="D32" s="498">
        <f>'나. 세입세출(총괄)'!D32</f>
        <v>0</v>
      </c>
      <c r="E32" s="498">
        <f>'나. 세입세출(총괄)'!E32</f>
        <v>0</v>
      </c>
      <c r="F32" s="498">
        <f t="shared" ref="F32:F38" si="7">E32-D32</f>
        <v>0</v>
      </c>
      <c r="G32" s="499">
        <v>0</v>
      </c>
      <c r="H32" s="460"/>
      <c r="I32" s="492"/>
      <c r="J32" s="493" t="s">
        <v>162</v>
      </c>
      <c r="K32" s="493" t="s">
        <v>164</v>
      </c>
      <c r="L32" s="489">
        <f>SUM(L33:L37)</f>
        <v>17528000</v>
      </c>
      <c r="M32" s="494">
        <f>SUM(M33:M37)</f>
        <v>14740000</v>
      </c>
      <c r="N32" s="489">
        <f>M32-L32</f>
        <v>-2788000</v>
      </c>
      <c r="O32" s="495">
        <f t="shared" si="1"/>
        <v>-15.905979005020537</v>
      </c>
      <c r="P32" s="512"/>
    </row>
    <row r="33" spans="1:16" ht="23.25" customHeight="1">
      <c r="A33" s="487"/>
      <c r="B33" s="497"/>
      <c r="C33" s="497" t="s">
        <v>249</v>
      </c>
      <c r="D33" s="498">
        <f>'나. 세입세출(총괄)'!D33</f>
        <v>1000000</v>
      </c>
      <c r="E33" s="498">
        <f>'나. 세입세출(총괄)'!E33</f>
        <v>5840530</v>
      </c>
      <c r="F33" s="498">
        <f t="shared" si="7"/>
        <v>4840530</v>
      </c>
      <c r="G33" s="499">
        <f t="shared" si="0"/>
        <v>484.053</v>
      </c>
      <c r="H33" s="460" t="s">
        <v>51</v>
      </c>
      <c r="I33" s="492"/>
      <c r="J33" s="500"/>
      <c r="K33" s="500" t="s">
        <v>149</v>
      </c>
      <c r="L33" s="498">
        <f>'나. 세입세출(총괄)'!K33</f>
        <v>8648000</v>
      </c>
      <c r="M33" s="498">
        <f>'나. 세입세출(총괄)'!L33</f>
        <v>6760000</v>
      </c>
      <c r="N33" s="498">
        <f t="shared" ref="N33:N37" si="8">M33-L33</f>
        <v>-1888000</v>
      </c>
      <c r="O33" s="501">
        <f t="shared" si="1"/>
        <v>-21.831637372802959</v>
      </c>
      <c r="P33" s="460" t="s">
        <v>540</v>
      </c>
    </row>
    <row r="34" spans="1:16" ht="23.25" customHeight="1">
      <c r="A34" s="502" t="s">
        <v>176</v>
      </c>
      <c r="B34" s="503" t="s">
        <v>114</v>
      </c>
      <c r="C34" s="503"/>
      <c r="D34" s="504">
        <f>D35</f>
        <v>96340</v>
      </c>
      <c r="E34" s="521">
        <f>E35</f>
        <v>97184</v>
      </c>
      <c r="F34" s="521">
        <f t="shared" si="7"/>
        <v>844</v>
      </c>
      <c r="G34" s="522">
        <f t="shared" si="0"/>
        <v>0.87606394021175016</v>
      </c>
      <c r="H34" s="506"/>
      <c r="I34" s="492"/>
      <c r="J34" s="500"/>
      <c r="K34" s="500" t="s">
        <v>463</v>
      </c>
      <c r="L34" s="498">
        <f>'나. 세입세출(총괄)'!K34</f>
        <v>1380000</v>
      </c>
      <c r="M34" s="498">
        <f>'나. 세입세출(총괄)'!L34</f>
        <v>1380000</v>
      </c>
      <c r="N34" s="498">
        <f t="shared" si="8"/>
        <v>0</v>
      </c>
      <c r="O34" s="501">
        <f t="shared" si="1"/>
        <v>0</v>
      </c>
      <c r="P34" s="460"/>
    </row>
    <row r="35" spans="1:16" ht="23.25" customHeight="1">
      <c r="A35" s="487"/>
      <c r="B35" s="488" t="s">
        <v>176</v>
      </c>
      <c r="C35" s="488" t="s">
        <v>164</v>
      </c>
      <c r="D35" s="489">
        <f>SUM(D36:D38)</f>
        <v>96340</v>
      </c>
      <c r="E35" s="523">
        <f>SUM(E36:E38)</f>
        <v>97184</v>
      </c>
      <c r="F35" s="523">
        <f t="shared" si="7"/>
        <v>844</v>
      </c>
      <c r="G35" s="524">
        <f t="shared" si="0"/>
        <v>0.87606394021175016</v>
      </c>
      <c r="H35" s="510"/>
      <c r="I35" s="492"/>
      <c r="J35" s="525"/>
      <c r="K35" s="525" t="s">
        <v>138</v>
      </c>
      <c r="L35" s="498">
        <f>'나. 세입세출(총괄)'!K35</f>
        <v>0</v>
      </c>
      <c r="M35" s="498">
        <v>0</v>
      </c>
      <c r="N35" s="498">
        <f>M35-L35</f>
        <v>0</v>
      </c>
      <c r="O35" s="501">
        <v>0</v>
      </c>
      <c r="P35" s="511"/>
    </row>
    <row r="36" spans="1:16" ht="23.25" customHeight="1">
      <c r="A36" s="487"/>
      <c r="B36" s="497"/>
      <c r="C36" s="497" t="s">
        <v>444</v>
      </c>
      <c r="D36" s="498">
        <f>'나. 세입세출(총괄)'!D36</f>
        <v>60000</v>
      </c>
      <c r="E36" s="498">
        <f>'나. 세입세출(총괄)'!E36</f>
        <v>60000</v>
      </c>
      <c r="F36" s="520">
        <f t="shared" si="7"/>
        <v>0</v>
      </c>
      <c r="G36" s="499">
        <f t="shared" si="0"/>
        <v>0</v>
      </c>
      <c r="H36" s="460"/>
      <c r="I36" s="492"/>
      <c r="J36" s="525"/>
      <c r="K36" s="525" t="s">
        <v>125</v>
      </c>
      <c r="L36" s="498">
        <f>'나. 세입세출(총괄)'!K36</f>
        <v>600000</v>
      </c>
      <c r="M36" s="498">
        <f>'나. 세입세출(총괄)'!L36</f>
        <v>600000</v>
      </c>
      <c r="N36" s="498">
        <f t="shared" si="8"/>
        <v>0</v>
      </c>
      <c r="O36" s="526">
        <f t="shared" si="1"/>
        <v>0</v>
      </c>
      <c r="P36" s="511"/>
    </row>
    <row r="37" spans="1:16" ht="23.25" customHeight="1">
      <c r="A37" s="487"/>
      <c r="B37" s="497"/>
      <c r="C37" s="497" t="s">
        <v>209</v>
      </c>
      <c r="D37" s="498">
        <f>'나. 세입세출(총괄)'!D37</f>
        <v>26340</v>
      </c>
      <c r="E37" s="498">
        <f>'나. 세입세출(총괄)'!E37</f>
        <v>27184</v>
      </c>
      <c r="F37" s="520">
        <f t="shared" si="7"/>
        <v>844</v>
      </c>
      <c r="G37" s="499">
        <f t="shared" si="0"/>
        <v>3.2042520880789676</v>
      </c>
      <c r="H37" s="511"/>
      <c r="I37" s="527"/>
      <c r="J37" s="497"/>
      <c r="K37" s="497" t="s">
        <v>148</v>
      </c>
      <c r="L37" s="498">
        <f>'나. 세입세출(총괄)'!K37</f>
        <v>6900000</v>
      </c>
      <c r="M37" s="498">
        <f>'나. 세입세출(총괄)'!L37</f>
        <v>6000000</v>
      </c>
      <c r="N37" s="498">
        <f t="shared" si="8"/>
        <v>-900000</v>
      </c>
      <c r="O37" s="509">
        <f t="shared" si="1"/>
        <v>-13.043478260869565</v>
      </c>
      <c r="P37" s="511" t="s">
        <v>539</v>
      </c>
    </row>
    <row r="38" spans="1:16" ht="23.25" customHeight="1">
      <c r="A38" s="487"/>
      <c r="B38" s="497"/>
      <c r="C38" s="497" t="s">
        <v>435</v>
      </c>
      <c r="D38" s="498">
        <f>'나. 세입세출(총괄)'!D38</f>
        <v>10000</v>
      </c>
      <c r="E38" s="498">
        <f>'나. 세입세출(총괄)'!E38</f>
        <v>10000</v>
      </c>
      <c r="F38" s="520">
        <f t="shared" si="7"/>
        <v>0</v>
      </c>
      <c r="G38" s="528">
        <f t="shared" si="0"/>
        <v>0</v>
      </c>
      <c r="H38" s="519"/>
      <c r="I38" s="529"/>
      <c r="J38" s="488" t="s">
        <v>178</v>
      </c>
      <c r="K38" s="488" t="s">
        <v>164</v>
      </c>
      <c r="L38" s="489">
        <f>SUM(L39:L48)</f>
        <v>5104000</v>
      </c>
      <c r="M38" s="489">
        <f>SUM(M39:M48)</f>
        <v>8004000</v>
      </c>
      <c r="N38" s="489">
        <f>M38-L38</f>
        <v>2900000</v>
      </c>
      <c r="O38" s="530">
        <f t="shared" si="1"/>
        <v>56.81818181818182</v>
      </c>
      <c r="P38" s="531"/>
    </row>
    <row r="39" spans="1:16" ht="23.25" customHeight="1">
      <c r="A39" s="532"/>
      <c r="B39" s="533"/>
      <c r="C39" s="533"/>
      <c r="D39" s="533"/>
      <c r="E39" s="533"/>
      <c r="F39" s="533"/>
      <c r="G39" s="533"/>
      <c r="H39" s="534"/>
      <c r="I39" s="529"/>
      <c r="J39" s="497"/>
      <c r="K39" s="497" t="s">
        <v>380</v>
      </c>
      <c r="L39" s="498">
        <f>'나. 세입세출(총괄)'!K39</f>
        <v>50000</v>
      </c>
      <c r="M39" s="498">
        <f>'나. 세입세출(총괄)'!L39</f>
        <v>50000</v>
      </c>
      <c r="N39" s="498">
        <f>M39-L39</f>
        <v>0</v>
      </c>
      <c r="O39" s="509">
        <v>0</v>
      </c>
      <c r="P39" s="511"/>
    </row>
    <row r="40" spans="1:16" ht="23.25" customHeight="1">
      <c r="A40" s="532"/>
      <c r="B40" s="533"/>
      <c r="C40" s="533"/>
      <c r="D40" s="533"/>
      <c r="E40" s="533"/>
      <c r="F40" s="533"/>
      <c r="G40" s="533"/>
      <c r="H40" s="534"/>
      <c r="I40" s="529"/>
      <c r="J40" s="497"/>
      <c r="K40" s="497" t="s">
        <v>426</v>
      </c>
      <c r="L40" s="498">
        <f>'나. 세입세출(총괄)'!K40</f>
        <v>0</v>
      </c>
      <c r="M40" s="498">
        <f>'나. 세입세출(총괄)'!L40</f>
        <v>0</v>
      </c>
      <c r="N40" s="498">
        <f t="shared" ref="N40:N43" si="9">M40-L40</f>
        <v>0</v>
      </c>
      <c r="O40" s="509">
        <v>0</v>
      </c>
      <c r="P40" s="511"/>
    </row>
    <row r="41" spans="1:16" ht="23.25" customHeight="1">
      <c r="A41" s="532"/>
      <c r="B41" s="533"/>
      <c r="C41" s="533"/>
      <c r="D41" s="533"/>
      <c r="E41" s="533"/>
      <c r="F41" s="533"/>
      <c r="G41" s="533"/>
      <c r="H41" s="534"/>
      <c r="I41" s="529"/>
      <c r="J41" s="497"/>
      <c r="K41" s="497" t="s">
        <v>387</v>
      </c>
      <c r="L41" s="498">
        <f>'나. 세입세출(총괄)'!K41</f>
        <v>2892000</v>
      </c>
      <c r="M41" s="498">
        <f>'나. 세입세출(총괄)'!L41</f>
        <v>2792000</v>
      </c>
      <c r="N41" s="498">
        <f t="shared" si="9"/>
        <v>-100000</v>
      </c>
      <c r="O41" s="509">
        <f t="shared" si="1"/>
        <v>-3.4578146611341634</v>
      </c>
      <c r="P41" s="511"/>
    </row>
    <row r="42" spans="1:16" ht="23.25" customHeight="1">
      <c r="A42" s="532"/>
      <c r="B42" s="533"/>
      <c r="C42" s="533"/>
      <c r="D42" s="533"/>
      <c r="E42" s="533"/>
      <c r="F42" s="533"/>
      <c r="G42" s="533"/>
      <c r="H42" s="534"/>
      <c r="I42" s="529"/>
      <c r="J42" s="497"/>
      <c r="K42" s="497" t="s">
        <v>260</v>
      </c>
      <c r="L42" s="498">
        <f>'나. 세입세출(총괄)'!K42</f>
        <v>480000</v>
      </c>
      <c r="M42" s="498">
        <f>'나. 세입세출(총괄)'!L42</f>
        <v>480000</v>
      </c>
      <c r="N42" s="498">
        <f t="shared" si="9"/>
        <v>0</v>
      </c>
      <c r="O42" s="509">
        <v>0</v>
      </c>
      <c r="P42" s="511"/>
    </row>
    <row r="43" spans="1:16" ht="23.25" customHeight="1">
      <c r="A43" s="532"/>
      <c r="B43" s="533"/>
      <c r="C43" s="533"/>
      <c r="D43" s="533"/>
      <c r="E43" s="533"/>
      <c r="F43" s="533"/>
      <c r="G43" s="533"/>
      <c r="H43" s="534"/>
      <c r="I43" s="529"/>
      <c r="J43" s="497"/>
      <c r="K43" s="497" t="s">
        <v>408</v>
      </c>
      <c r="L43" s="498">
        <f>'나. 세입세출(총괄)'!K43</f>
        <v>40000</v>
      </c>
      <c r="M43" s="498">
        <f>'나. 세입세출(총괄)'!L43</f>
        <v>40000</v>
      </c>
      <c r="N43" s="498">
        <f t="shared" si="9"/>
        <v>0</v>
      </c>
      <c r="O43" s="509">
        <v>0</v>
      </c>
      <c r="P43" s="511"/>
    </row>
    <row r="44" spans="1:16" ht="23.25" customHeight="1">
      <c r="A44" s="532"/>
      <c r="B44" s="533"/>
      <c r="C44" s="533"/>
      <c r="D44" s="533"/>
      <c r="E44" s="533"/>
      <c r="F44" s="533"/>
      <c r="G44" s="533"/>
      <c r="H44" s="534"/>
      <c r="I44" s="529"/>
      <c r="J44" s="497"/>
      <c r="K44" s="497" t="s">
        <v>376</v>
      </c>
      <c r="L44" s="498">
        <f>'나. 세입세출(총괄)'!K44</f>
        <v>0</v>
      </c>
      <c r="M44" s="498">
        <f>'나. 세입세출(총괄)'!L44</f>
        <v>0</v>
      </c>
      <c r="N44" s="498">
        <f t="shared" ref="N44:N48" si="10">M44-L44</f>
        <v>0</v>
      </c>
      <c r="O44" s="509">
        <v>0</v>
      </c>
      <c r="P44" s="511"/>
    </row>
    <row r="45" spans="1:16" ht="23.25" customHeight="1">
      <c r="A45" s="532"/>
      <c r="B45" s="533"/>
      <c r="C45" s="533"/>
      <c r="D45" s="533"/>
      <c r="E45" s="533"/>
      <c r="F45" s="533"/>
      <c r="G45" s="533"/>
      <c r="H45" s="534"/>
      <c r="I45" s="529"/>
      <c r="J45" s="497"/>
      <c r="K45" s="497" t="s">
        <v>248</v>
      </c>
      <c r="L45" s="498">
        <f>'나. 세입세출(총괄)'!K45</f>
        <v>0</v>
      </c>
      <c r="M45" s="498">
        <f>'나. 세입세출(총괄)'!L45</f>
        <v>0</v>
      </c>
      <c r="N45" s="498">
        <f t="shared" si="10"/>
        <v>0</v>
      </c>
      <c r="O45" s="509">
        <v>0</v>
      </c>
      <c r="P45" s="511"/>
    </row>
    <row r="46" spans="1:16" ht="23.25" customHeight="1">
      <c r="A46" s="532"/>
      <c r="B46" s="533"/>
      <c r="C46" s="533"/>
      <c r="D46" s="533"/>
      <c r="E46" s="533"/>
      <c r="F46" s="533"/>
      <c r="G46" s="533"/>
      <c r="H46" s="534"/>
      <c r="I46" s="529"/>
      <c r="J46" s="497"/>
      <c r="K46" s="497" t="s">
        <v>258</v>
      </c>
      <c r="L46" s="498">
        <f>'나. 세입세출(총괄)'!K46</f>
        <v>1642000</v>
      </c>
      <c r="M46" s="498">
        <f>'나. 세입세출(총괄)'!L46</f>
        <v>1642000</v>
      </c>
      <c r="N46" s="498">
        <f t="shared" si="10"/>
        <v>0</v>
      </c>
      <c r="O46" s="509">
        <v>0</v>
      </c>
      <c r="P46" s="511"/>
    </row>
    <row r="47" spans="1:16" ht="23.25" hidden="1" customHeight="1">
      <c r="A47" s="532"/>
      <c r="B47" s="533"/>
      <c r="C47" s="533"/>
      <c r="D47" s="533"/>
      <c r="E47" s="533"/>
      <c r="F47" s="533"/>
      <c r="G47" s="533"/>
      <c r="H47" s="534"/>
      <c r="I47" s="529"/>
      <c r="J47" s="497"/>
      <c r="K47" s="497" t="s">
        <v>265</v>
      </c>
      <c r="L47" s="498">
        <f>'나. 세입세출(총괄)'!K47</f>
        <v>0</v>
      </c>
      <c r="M47" s="498">
        <f>'나. 세입세출(총괄)'!L47</f>
        <v>3000000</v>
      </c>
      <c r="N47" s="498">
        <f t="shared" si="10"/>
        <v>3000000</v>
      </c>
      <c r="O47" s="509">
        <v>0</v>
      </c>
      <c r="P47" s="511"/>
    </row>
    <row r="48" spans="1:16" ht="23.25" hidden="1" customHeight="1">
      <c r="A48" s="532"/>
      <c r="B48" s="533"/>
      <c r="C48" s="533"/>
      <c r="D48" s="533"/>
      <c r="E48" s="533"/>
      <c r="F48" s="533"/>
      <c r="G48" s="533"/>
      <c r="H48" s="534"/>
      <c r="I48" s="529"/>
      <c r="J48" s="497"/>
      <c r="K48" s="497" t="s">
        <v>494</v>
      </c>
      <c r="L48" s="498">
        <f>'나. 세입세출(총괄)'!K48</f>
        <v>0</v>
      </c>
      <c r="M48" s="498">
        <f>'나. 세입세출(총괄)'!L48</f>
        <v>0</v>
      </c>
      <c r="N48" s="498">
        <f t="shared" si="10"/>
        <v>0</v>
      </c>
      <c r="O48" s="509">
        <v>0</v>
      </c>
      <c r="P48" s="511"/>
    </row>
    <row r="49" spans="1:16" ht="23.25" customHeight="1">
      <c r="A49" s="532"/>
      <c r="B49" s="533"/>
      <c r="C49" s="533"/>
      <c r="D49" s="533"/>
      <c r="E49" s="533"/>
      <c r="F49" s="533"/>
      <c r="G49" s="533"/>
      <c r="H49" s="534"/>
      <c r="I49" s="535" t="s">
        <v>109</v>
      </c>
      <c r="J49" s="503" t="s">
        <v>114</v>
      </c>
      <c r="K49" s="503"/>
      <c r="L49" s="504">
        <f>L50</f>
        <v>96340</v>
      </c>
      <c r="M49" s="504">
        <f>M50</f>
        <v>74410</v>
      </c>
      <c r="N49" s="504">
        <f>M49-L49</f>
        <v>-21930</v>
      </c>
      <c r="O49" s="536">
        <f>N49/L49*100</f>
        <v>-22.76313057919867</v>
      </c>
      <c r="P49" s="537"/>
    </row>
    <row r="50" spans="1:16" ht="23.25" customHeight="1">
      <c r="A50" s="532"/>
      <c r="B50" s="533"/>
      <c r="C50" s="533"/>
      <c r="D50" s="533"/>
      <c r="E50" s="533"/>
      <c r="F50" s="533"/>
      <c r="G50" s="533"/>
      <c r="H50" s="534"/>
      <c r="I50" s="529"/>
      <c r="J50" s="488" t="s">
        <v>109</v>
      </c>
      <c r="K50" s="488" t="s">
        <v>164</v>
      </c>
      <c r="L50" s="489">
        <f>L51</f>
        <v>96340</v>
      </c>
      <c r="M50" s="489">
        <f>M51</f>
        <v>74410</v>
      </c>
      <c r="N50" s="489">
        <f>M50-L50</f>
        <v>-21930</v>
      </c>
      <c r="O50" s="530">
        <f>N50/L50*100</f>
        <v>-22.76313057919867</v>
      </c>
      <c r="P50" s="531"/>
    </row>
    <row r="51" spans="1:16" ht="23.25" customHeight="1">
      <c r="A51" s="532"/>
      <c r="B51" s="533"/>
      <c r="C51" s="533"/>
      <c r="D51" s="533"/>
      <c r="E51" s="533"/>
      <c r="F51" s="533"/>
      <c r="G51" s="533"/>
      <c r="H51" s="534"/>
      <c r="I51" s="529"/>
      <c r="J51" s="497"/>
      <c r="K51" s="497" t="s">
        <v>109</v>
      </c>
      <c r="L51" s="498">
        <f>'나. 세입세출(총괄)'!K51</f>
        <v>96340</v>
      </c>
      <c r="M51" s="498">
        <f>'나. 세입세출(총괄)'!L51</f>
        <v>74410</v>
      </c>
      <c r="N51" s="498">
        <f>M51-L51</f>
        <v>-21930</v>
      </c>
      <c r="O51" s="509">
        <f>N51/L51*100</f>
        <v>-22.76313057919867</v>
      </c>
      <c r="P51" s="460"/>
    </row>
    <row r="52" spans="1:16" ht="23.25" customHeight="1">
      <c r="A52" s="532"/>
      <c r="B52" s="533"/>
      <c r="C52" s="533"/>
      <c r="D52" s="533"/>
      <c r="E52" s="533"/>
      <c r="F52" s="533"/>
      <c r="G52" s="533"/>
      <c r="H52" s="534"/>
      <c r="I52" s="535" t="s">
        <v>462</v>
      </c>
      <c r="J52" s="503" t="s">
        <v>114</v>
      </c>
      <c r="K52" s="503"/>
      <c r="L52" s="504">
        <f>L53</f>
        <v>1000000</v>
      </c>
      <c r="M52" s="504">
        <f>M53</f>
        <v>5840530</v>
      </c>
      <c r="N52" s="504">
        <f>M52-L52</f>
        <v>4840530</v>
      </c>
      <c r="O52" s="536">
        <f>N52/L52*100</f>
        <v>484.053</v>
      </c>
      <c r="P52" s="538"/>
    </row>
    <row r="53" spans="1:16" ht="23.25" customHeight="1">
      <c r="A53" s="532"/>
      <c r="B53" s="533"/>
      <c r="C53" s="533"/>
      <c r="D53" s="533"/>
      <c r="E53" s="533"/>
      <c r="F53" s="533"/>
      <c r="G53" s="533"/>
      <c r="H53" s="534"/>
      <c r="I53" s="529"/>
      <c r="J53" s="488" t="s">
        <v>462</v>
      </c>
      <c r="K53" s="488" t="s">
        <v>164</v>
      </c>
      <c r="L53" s="489">
        <f>SUM(L54:L55)</f>
        <v>1000000</v>
      </c>
      <c r="M53" s="489">
        <f>SUM(M54:M55)</f>
        <v>5840530</v>
      </c>
      <c r="N53" s="489">
        <f>SUM(N54:N55)</f>
        <v>4840530</v>
      </c>
      <c r="O53" s="530">
        <f>N53/L53*100</f>
        <v>484.053</v>
      </c>
      <c r="P53" s="539"/>
    </row>
    <row r="54" spans="1:16" ht="23.25" customHeight="1">
      <c r="A54" s="540"/>
      <c r="B54" s="541"/>
      <c r="C54" s="541"/>
      <c r="D54" s="541"/>
      <c r="E54" s="541"/>
      <c r="F54" s="541"/>
      <c r="G54" s="541"/>
      <c r="H54" s="542"/>
      <c r="I54" s="543"/>
      <c r="J54" s="544"/>
      <c r="K54" s="544" t="s">
        <v>154</v>
      </c>
      <c r="L54" s="498">
        <f>'나. 세입세출(총괄)'!K54</f>
        <v>0</v>
      </c>
      <c r="M54" s="498">
        <f>'나. 세입세출(총괄)'!L54</f>
        <v>0</v>
      </c>
      <c r="N54" s="498">
        <f>M54-L54</f>
        <v>0</v>
      </c>
      <c r="O54" s="509">
        <v>0</v>
      </c>
      <c r="P54" s="545"/>
    </row>
    <row r="55" spans="1:16" ht="21.75" customHeight="1">
      <c r="A55" s="546"/>
      <c r="B55" s="547"/>
      <c r="C55" s="547"/>
      <c r="D55" s="547"/>
      <c r="E55" s="547"/>
      <c r="F55" s="547"/>
      <c r="G55" s="547"/>
      <c r="H55" s="548"/>
      <c r="I55" s="549"/>
      <c r="J55" s="550"/>
      <c r="K55" s="550" t="s">
        <v>323</v>
      </c>
      <c r="L55" s="551">
        <f>'나. 세입세출(총괄)'!K55</f>
        <v>1000000</v>
      </c>
      <c r="M55" s="551">
        <f>'나. 세입세출(총괄)'!L55</f>
        <v>5840530</v>
      </c>
      <c r="N55" s="551">
        <f>M55-L55</f>
        <v>4840530</v>
      </c>
      <c r="O55" s="509">
        <f>N55/L55*100</f>
        <v>484.053</v>
      </c>
      <c r="P55" s="460"/>
    </row>
  </sheetData>
  <mergeCells count="17">
    <mergeCell ref="A2:P2"/>
    <mergeCell ref="A7:C7"/>
    <mergeCell ref="I7:K7"/>
    <mergeCell ref="A5:C5"/>
    <mergeCell ref="E5:E6"/>
    <mergeCell ref="A4:H4"/>
    <mergeCell ref="I4:P4"/>
    <mergeCell ref="P5:P6"/>
    <mergeCell ref="D5:D6"/>
    <mergeCell ref="L5:L6"/>
    <mergeCell ref="F5:F6"/>
    <mergeCell ref="N5:N6"/>
    <mergeCell ref="H5:H6"/>
    <mergeCell ref="M5:M6"/>
    <mergeCell ref="I5:K5"/>
    <mergeCell ref="G5:G6"/>
    <mergeCell ref="O5:O6"/>
  </mergeCells>
  <phoneticPr fontId="65" type="noConversion"/>
  <pageMargins left="0.7086111307144165" right="0.7086111307144165" top="0.74763888120651245" bottom="0.74763888120651245" header="0.31486111879348755" footer="0.31486111879348755"/>
  <pageSetup paperSize="9" scale="63" fitToHeight="0" orientation="landscape" r:id="rId1"/>
  <drawing r:id="rId2"/>
</worksheet>
</file>

<file path=xl/worksheets/sheet1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sheetPr codeName="Sheet11">
    <pageSetUpPr fitToPage="1"/>
  </sheetPr>
  <dimension ref="A1:W49"/>
  <sheetViews>
    <sheetView tabSelected="1" view="pageBreakPreview" topLeftCell="J1" zoomScaleNormal="100" zoomScaleSheetLayoutView="100" workbookViewId="0">
      <selection activeCell="R57" sqref="R57"/>
    </sheetView>
  </sheetViews>
  <sheetFormatPr defaultColWidth="9" defaultRowHeight="13.5"/>
  <cols>
    <col min="1" max="5" width="9" style="461"/>
    <col min="6" max="6" width="10.5" style="461" bestFit="1" customWidth="1"/>
    <col min="7" max="7" width="10.125" style="461" bestFit="1" customWidth="1"/>
    <col min="8" max="8" width="8.75" style="461" bestFit="1" customWidth="1"/>
    <col min="9" max="9" width="11.75" style="461" bestFit="1" customWidth="1"/>
    <col min="10" max="11" width="9.625" style="461" bestFit="1" customWidth="1"/>
    <col min="12" max="16" width="9.625" style="461" customWidth="1"/>
    <col min="17" max="17" width="13.5" style="461" customWidth="1"/>
    <col min="18" max="18" width="9.625" style="461" bestFit="1" customWidth="1"/>
    <col min="19" max="19" width="10.5" style="461" bestFit="1" customWidth="1"/>
    <col min="20" max="20" width="11.875" style="461" customWidth="1"/>
    <col min="21" max="21" width="10.875" style="461" customWidth="1"/>
    <col min="22" max="22" width="14.25" style="461" customWidth="1"/>
    <col min="23" max="23" width="18.875" style="461" customWidth="1"/>
    <col min="24" max="16384" width="9" style="461"/>
  </cols>
  <sheetData>
    <row r="1" spans="1:23" ht="30.75" customHeight="1">
      <c r="A1" s="1009" t="s">
        <v>520</v>
      </c>
      <c r="B1" s="1009"/>
      <c r="C1" s="1009"/>
      <c r="D1" s="1009"/>
      <c r="E1" s="1009"/>
      <c r="F1" s="1009"/>
      <c r="G1" s="1009"/>
      <c r="H1" s="1009"/>
      <c r="I1" s="1009"/>
      <c r="J1" s="1009"/>
      <c r="K1" s="1009"/>
      <c r="L1" s="1009"/>
      <c r="M1" s="1009"/>
      <c r="N1" s="1009"/>
      <c r="O1" s="1009"/>
      <c r="P1" s="1009"/>
      <c r="Q1" s="1009"/>
      <c r="R1" s="1009"/>
      <c r="S1" s="1009"/>
      <c r="T1" s="1009"/>
      <c r="U1" s="1009"/>
      <c r="V1" s="1009"/>
      <c r="W1" s="1009"/>
    </row>
    <row r="2" spans="1:23" ht="16.5" customHeight="1">
      <c r="A2" s="552"/>
      <c r="B2" s="553"/>
      <c r="C2" s="553"/>
      <c r="D2" s="553"/>
      <c r="E2" s="553"/>
      <c r="F2" s="553"/>
      <c r="G2" s="553"/>
      <c r="H2" s="553"/>
      <c r="I2" s="553"/>
      <c r="J2" s="553"/>
      <c r="K2" s="553"/>
      <c r="L2" s="553"/>
      <c r="M2" s="553"/>
      <c r="N2" s="553"/>
      <c r="O2" s="553"/>
      <c r="P2" s="553"/>
      <c r="Q2" s="553"/>
      <c r="R2" s="553"/>
      <c r="S2" s="553"/>
      <c r="T2" s="553"/>
      <c r="U2" s="553"/>
      <c r="V2" s="553"/>
      <c r="W2" s="553"/>
    </row>
    <row r="3" spans="1:23" ht="25.5" customHeight="1">
      <c r="A3" s="1010" t="s">
        <v>105</v>
      </c>
      <c r="B3" s="1010" t="s">
        <v>140</v>
      </c>
      <c r="C3" s="1010" t="s">
        <v>122</v>
      </c>
      <c r="D3" s="1010" t="s">
        <v>116</v>
      </c>
      <c r="E3" s="1010" t="s">
        <v>88</v>
      </c>
      <c r="F3" s="995" t="s">
        <v>113</v>
      </c>
      <c r="G3" s="999" t="s">
        <v>130</v>
      </c>
      <c r="H3" s="1000"/>
      <c r="I3" s="1000"/>
      <c r="J3" s="1001"/>
      <c r="K3" s="997" t="s">
        <v>232</v>
      </c>
      <c r="L3" s="1012" t="s">
        <v>406</v>
      </c>
      <c r="M3" s="1013"/>
      <c r="N3" s="1013"/>
      <c r="O3" s="1013"/>
      <c r="P3" s="1014"/>
      <c r="Q3" s="997" t="s">
        <v>406</v>
      </c>
      <c r="R3" s="997" t="s">
        <v>367</v>
      </c>
      <c r="S3" s="995" t="s">
        <v>137</v>
      </c>
      <c r="T3" s="999" t="s">
        <v>201</v>
      </c>
      <c r="U3" s="1000"/>
      <c r="V3" s="1001"/>
      <c r="W3" s="995" t="s">
        <v>112</v>
      </c>
    </row>
    <row r="4" spans="1:23" ht="25.5" customHeight="1">
      <c r="A4" s="1011"/>
      <c r="B4" s="1011"/>
      <c r="C4" s="1011"/>
      <c r="D4" s="1011"/>
      <c r="E4" s="1011"/>
      <c r="F4" s="996"/>
      <c r="G4" s="554" t="s">
        <v>422</v>
      </c>
      <c r="H4" s="554" t="s">
        <v>427</v>
      </c>
      <c r="I4" s="554" t="s">
        <v>450</v>
      </c>
      <c r="J4" s="554" t="s">
        <v>436</v>
      </c>
      <c r="K4" s="998"/>
      <c r="L4" s="555" t="s">
        <v>491</v>
      </c>
      <c r="M4" s="555" t="s">
        <v>351</v>
      </c>
      <c r="N4" s="555" t="s">
        <v>438</v>
      </c>
      <c r="O4" s="555" t="s">
        <v>452</v>
      </c>
      <c r="P4" s="555" t="s">
        <v>467</v>
      </c>
      <c r="Q4" s="998"/>
      <c r="R4" s="998"/>
      <c r="S4" s="996"/>
      <c r="T4" s="556" t="s">
        <v>231</v>
      </c>
      <c r="U4" s="556" t="s">
        <v>243</v>
      </c>
      <c r="V4" s="557" t="s">
        <v>224</v>
      </c>
      <c r="W4" s="996"/>
    </row>
    <row r="5" spans="1:23" ht="25.5" hidden="1" customHeight="1">
      <c r="A5" s="992">
        <v>1</v>
      </c>
      <c r="B5" s="992" t="s">
        <v>117</v>
      </c>
      <c r="C5" s="992" t="s">
        <v>63</v>
      </c>
      <c r="D5" s="558" t="s">
        <v>76</v>
      </c>
      <c r="E5" s="1007"/>
      <c r="F5" s="559"/>
      <c r="G5" s="559"/>
      <c r="H5" s="560"/>
      <c r="I5" s="561"/>
      <c r="J5" s="561"/>
      <c r="K5" s="561"/>
      <c r="L5" s="561"/>
      <c r="M5" s="561"/>
      <c r="N5" s="561"/>
      <c r="O5" s="561"/>
      <c r="P5" s="561"/>
      <c r="Q5" s="561"/>
      <c r="R5" s="561"/>
      <c r="S5" s="1002"/>
      <c r="T5" s="562"/>
      <c r="U5" s="562"/>
      <c r="V5" s="562"/>
      <c r="W5" s="1004" t="s">
        <v>25</v>
      </c>
    </row>
    <row r="6" spans="1:23" ht="25.5" hidden="1" customHeight="1">
      <c r="A6" s="993"/>
      <c r="B6" s="993"/>
      <c r="C6" s="993"/>
      <c r="D6" s="558" t="s">
        <v>71</v>
      </c>
      <c r="E6" s="1008"/>
      <c r="F6" s="559"/>
      <c r="G6" s="559"/>
      <c r="H6" s="560"/>
      <c r="I6" s="561"/>
      <c r="J6" s="561"/>
      <c r="K6" s="561"/>
      <c r="L6" s="561"/>
      <c r="M6" s="561"/>
      <c r="N6" s="561"/>
      <c r="O6" s="561"/>
      <c r="P6" s="561"/>
      <c r="Q6" s="561"/>
      <c r="R6" s="561"/>
      <c r="S6" s="1003"/>
      <c r="T6" s="563"/>
      <c r="U6" s="563"/>
      <c r="V6" s="563"/>
      <c r="W6" s="1005"/>
    </row>
    <row r="7" spans="1:23" ht="25.5" hidden="1" customHeight="1">
      <c r="A7" s="992">
        <v>1</v>
      </c>
      <c r="B7" s="992" t="s">
        <v>152</v>
      </c>
      <c r="C7" s="992"/>
      <c r="D7" s="558" t="s">
        <v>75</v>
      </c>
      <c r="E7" s="564"/>
      <c r="F7" s="559">
        <v>0</v>
      </c>
      <c r="G7" s="559">
        <v>0</v>
      </c>
      <c r="H7" s="560"/>
      <c r="I7" s="561">
        <v>0</v>
      </c>
      <c r="J7" s="1015">
        <f>SUM(G7:I8)</f>
        <v>0</v>
      </c>
      <c r="K7" s="561">
        <f>ROUND((F7+F8+J7)*1/12,-1)</f>
        <v>0</v>
      </c>
      <c r="L7" s="561">
        <f>ROUND((F7+F8+J7)*3.495%,-1)</f>
        <v>0</v>
      </c>
      <c r="M7" s="561">
        <f>ROUND(L7*12.27%,-1)</f>
        <v>0</v>
      </c>
      <c r="N7" s="561">
        <f>INT(((F7+F8+J7)*4.5%)/10)*10</f>
        <v>0</v>
      </c>
      <c r="O7" s="561">
        <f>ROUND((F7+F8+J7)*1.05%,-1)</f>
        <v>0</v>
      </c>
      <c r="P7" s="561">
        <f>ROUND((F7+F8+J7)*0.8%,-1)</f>
        <v>0</v>
      </c>
      <c r="Q7" s="561">
        <f>SUM(L7:P7)</f>
        <v>0</v>
      </c>
      <c r="R7" s="561">
        <f>K7+Q7</f>
        <v>0</v>
      </c>
      <c r="S7" s="1002">
        <f>SUM(F7:F8)+SUM(J7:J8)+SUM(R7:R8)</f>
        <v>0</v>
      </c>
      <c r="T7" s="562"/>
      <c r="U7" s="562"/>
      <c r="V7" s="562"/>
      <c r="W7" s="1006" t="s">
        <v>45</v>
      </c>
    </row>
    <row r="8" spans="1:23" ht="25.5" hidden="1" customHeight="1">
      <c r="A8" s="993"/>
      <c r="B8" s="993"/>
      <c r="C8" s="993"/>
      <c r="D8" s="558"/>
      <c r="E8" s="564"/>
      <c r="F8" s="559"/>
      <c r="G8" s="559"/>
      <c r="H8" s="560"/>
      <c r="I8" s="561"/>
      <c r="J8" s="1016"/>
      <c r="K8" s="561"/>
      <c r="L8" s="561"/>
      <c r="M8" s="561"/>
      <c r="N8" s="561"/>
      <c r="O8" s="561"/>
      <c r="P8" s="561"/>
      <c r="Q8" s="561"/>
      <c r="R8" s="561"/>
      <c r="S8" s="1003"/>
      <c r="T8" s="563"/>
      <c r="U8" s="563"/>
      <c r="V8" s="563"/>
      <c r="W8" s="1005"/>
    </row>
    <row r="9" spans="1:23" ht="25.5" hidden="1" customHeight="1">
      <c r="A9" s="992">
        <v>1</v>
      </c>
      <c r="B9" s="994" t="s">
        <v>117</v>
      </c>
      <c r="C9" s="992" t="s">
        <v>63</v>
      </c>
      <c r="D9" s="558" t="s">
        <v>103</v>
      </c>
      <c r="E9" s="1007" t="s">
        <v>159</v>
      </c>
      <c r="F9" s="559">
        <f>4899600*3</f>
        <v>14698800</v>
      </c>
      <c r="G9" s="559">
        <f>4899600*60%</f>
        <v>2939760</v>
      </c>
      <c r="H9" s="560">
        <f>0*3</f>
        <v>0</v>
      </c>
      <c r="I9" s="561">
        <f>ROUND((F9)*1/209*1.5,-1)*20</f>
        <v>2109800</v>
      </c>
      <c r="J9" s="1015">
        <f>SUM(G9:I10)</f>
        <v>14433420</v>
      </c>
      <c r="K9" s="561">
        <f>ROUND((F9+F10+J9)*1/12,-1)</f>
        <v>6147760</v>
      </c>
      <c r="L9" s="561">
        <f>ROUND((F9+F10+J9)*3.545%,-1)</f>
        <v>2615260</v>
      </c>
      <c r="M9" s="561">
        <f>ROUND(L9*12.95%,-1)</f>
        <v>338680</v>
      </c>
      <c r="N9" s="561">
        <f>INT(((F9+F10+J9)*4.5%)/10)*0</f>
        <v>0</v>
      </c>
      <c r="O9" s="561">
        <f>ROUND((F9+F10+J9)*1.15%,-1)*0</f>
        <v>0</v>
      </c>
      <c r="P9" s="561">
        <f>ROUND((F9+F10+J9)*0.72%,-1)*0</f>
        <v>0</v>
      </c>
      <c r="Q9" s="561">
        <f>SUM(L9:P9)</f>
        <v>2953940</v>
      </c>
      <c r="R9" s="561">
        <f>K9+Q9</f>
        <v>9101700</v>
      </c>
      <c r="S9" s="1002">
        <f>SUM(F9:F10)+SUM(J9:J10)+SUM(R9:R10)</f>
        <v>82874820</v>
      </c>
      <c r="T9" s="565">
        <f>250000*12</f>
        <v>3000000</v>
      </c>
      <c r="U9" s="565">
        <f>50000*12</f>
        <v>600000</v>
      </c>
      <c r="V9" s="565">
        <f t="shared" ref="V9:V40" si="0">T9+U9</f>
        <v>3600000</v>
      </c>
      <c r="W9" s="1004" t="s">
        <v>194</v>
      </c>
    </row>
    <row r="10" spans="1:23" ht="25.5" hidden="1" customHeight="1">
      <c r="A10" s="993"/>
      <c r="B10" s="993"/>
      <c r="C10" s="993"/>
      <c r="D10" s="558" t="s">
        <v>101</v>
      </c>
      <c r="E10" s="1008"/>
      <c r="F10" s="559">
        <f>4960100*9</f>
        <v>44640900</v>
      </c>
      <c r="G10" s="559">
        <f>4960100*60%</f>
        <v>2976060</v>
      </c>
      <c r="H10" s="560">
        <f>0*9</f>
        <v>0</v>
      </c>
      <c r="I10" s="561">
        <f>ROUND((F10)*1/209*1.5,-1)*20</f>
        <v>6407800</v>
      </c>
      <c r="J10" s="1016"/>
      <c r="K10" s="561"/>
      <c r="L10" s="561"/>
      <c r="M10" s="561"/>
      <c r="N10" s="561"/>
      <c r="O10" s="561"/>
      <c r="P10" s="561"/>
      <c r="Q10" s="561"/>
      <c r="R10" s="561"/>
      <c r="S10" s="1003"/>
      <c r="T10" s="566"/>
      <c r="U10" s="566"/>
      <c r="V10" s="566">
        <f t="shared" si="0"/>
        <v>0</v>
      </c>
      <c r="W10" s="1005"/>
    </row>
    <row r="11" spans="1:23" ht="25.5" hidden="1" customHeight="1">
      <c r="A11" s="992">
        <v>2</v>
      </c>
      <c r="B11" s="994" t="s">
        <v>282</v>
      </c>
      <c r="C11" s="992" t="s">
        <v>404</v>
      </c>
      <c r="D11" s="558" t="s">
        <v>79</v>
      </c>
      <c r="E11" s="1007" t="s">
        <v>94</v>
      </c>
      <c r="F11" s="559">
        <f>2219800*3</f>
        <v>6659400</v>
      </c>
      <c r="G11" s="559"/>
      <c r="H11" s="560">
        <f>40000*3</f>
        <v>120000</v>
      </c>
      <c r="I11" s="561">
        <f>ROUND((F11)*1/209*1.5,-1)*20</f>
        <v>955800</v>
      </c>
      <c r="J11" s="1015">
        <f>SUM(G11:I12)</f>
        <v>1075800</v>
      </c>
      <c r="K11" s="561">
        <f>ROUND((F11+F12+J11)*1/12,-1)</f>
        <v>644600</v>
      </c>
      <c r="L11" s="561">
        <f>ROUND((F11+F12+J11)*3.545%,-1)</f>
        <v>274210</v>
      </c>
      <c r="M11" s="561">
        <f>ROUND(L11*12.95%,-1)</f>
        <v>35510</v>
      </c>
      <c r="N11" s="561">
        <f>INT(((F11+F12+J11)*4.5%)/10)*10</f>
        <v>348080</v>
      </c>
      <c r="O11" s="561">
        <f>ROUND((F11+F12+J11)*1.15%,-1)</f>
        <v>88950</v>
      </c>
      <c r="P11" s="561">
        <f>ROUND((F11+F12+J11)*0.72%,-1)</f>
        <v>55690</v>
      </c>
      <c r="Q11" s="561">
        <f>SUM(L11:P11)</f>
        <v>802440</v>
      </c>
      <c r="R11" s="561">
        <f>K11+Q11</f>
        <v>1447040</v>
      </c>
      <c r="S11" s="1002">
        <f>SUM(F11:F12)+SUM(J11:J12)+SUM(R11:R12)</f>
        <v>9182240</v>
      </c>
      <c r="T11" s="565">
        <f>200000*12</f>
        <v>2400000</v>
      </c>
      <c r="U11" s="565">
        <f>50000*12</f>
        <v>600000</v>
      </c>
      <c r="V11" s="565">
        <f t="shared" si="0"/>
        <v>3000000</v>
      </c>
      <c r="W11" s="1006" t="s">
        <v>538</v>
      </c>
    </row>
    <row r="12" spans="1:23" ht="21.75" hidden="1" customHeight="1">
      <c r="A12" s="993"/>
      <c r="B12" s="993"/>
      <c r="C12" s="993"/>
      <c r="D12" s="558"/>
      <c r="E12" s="1008"/>
      <c r="F12" s="559">
        <v>0</v>
      </c>
      <c r="G12" s="559">
        <v>0</v>
      </c>
      <c r="H12" s="560">
        <v>0</v>
      </c>
      <c r="I12" s="561">
        <f>ROUND((F12)*1/209*1.5,-1)*0</f>
        <v>0</v>
      </c>
      <c r="J12" s="1016"/>
      <c r="K12" s="561"/>
      <c r="L12" s="561"/>
      <c r="M12" s="561"/>
      <c r="N12" s="561"/>
      <c r="O12" s="561"/>
      <c r="P12" s="561"/>
      <c r="Q12" s="561"/>
      <c r="R12" s="561"/>
      <c r="S12" s="1003"/>
      <c r="T12" s="566"/>
      <c r="U12" s="566"/>
      <c r="V12" s="566">
        <f>T12+U12</f>
        <v>0</v>
      </c>
      <c r="W12" s="1005"/>
    </row>
    <row r="13" spans="1:23" ht="25.5" hidden="1" customHeight="1">
      <c r="A13" s="992">
        <v>4</v>
      </c>
      <c r="B13" s="994" t="s">
        <v>202</v>
      </c>
      <c r="C13" s="992" t="s">
        <v>92</v>
      </c>
      <c r="D13" s="558" t="s">
        <v>77</v>
      </c>
      <c r="E13" s="1007" t="s">
        <v>61</v>
      </c>
      <c r="F13" s="559">
        <v>0</v>
      </c>
      <c r="G13" s="559">
        <f>0*60%</f>
        <v>0</v>
      </c>
      <c r="H13" s="560"/>
      <c r="I13" s="561">
        <f t="shared" ref="I13:I38" si="1">ROUND((F13)*1/209*1.5,-1)*20</f>
        <v>0</v>
      </c>
      <c r="J13" s="1015">
        <f>SUM(G13:I14)</f>
        <v>0</v>
      </c>
      <c r="K13" s="561">
        <f>ROUND((F13+F14+J13)*1/12,-1)</f>
        <v>0</v>
      </c>
      <c r="L13" s="561">
        <f>ROUND((F13+F14+J13)*3.495%,-1)</f>
        <v>0</v>
      </c>
      <c r="M13" s="561">
        <f>ROUND(L13*12.27%,-1)</f>
        <v>0</v>
      </c>
      <c r="N13" s="561">
        <f>INT(((F13+F14+J13)*4.5%)/10)*10</f>
        <v>0</v>
      </c>
      <c r="O13" s="561">
        <f>ROUND((F13+F14+J13)*1.05%,-1)</f>
        <v>0</v>
      </c>
      <c r="P13" s="561">
        <f>ROUND((F13+F14+J13)*0.8%,-1)</f>
        <v>0</v>
      </c>
      <c r="Q13" s="561">
        <f>SUM(L13:P13)</f>
        <v>0</v>
      </c>
      <c r="R13" s="561">
        <f>K13+Q13</f>
        <v>0</v>
      </c>
      <c r="S13" s="1002">
        <f>SUM(F13:F14)+SUM(J13:J14)+SUM(R13:R14)</f>
        <v>0</v>
      </c>
      <c r="T13" s="565">
        <v>0</v>
      </c>
      <c r="U13" s="565">
        <v>0</v>
      </c>
      <c r="V13" s="565">
        <f t="shared" si="0"/>
        <v>0</v>
      </c>
      <c r="W13" s="1006" t="s">
        <v>37</v>
      </c>
    </row>
    <row r="14" spans="1:23" ht="25.5" hidden="1" customHeight="1">
      <c r="A14" s="993"/>
      <c r="B14" s="993"/>
      <c r="C14" s="993"/>
      <c r="D14" s="558" t="s">
        <v>66</v>
      </c>
      <c r="E14" s="1008"/>
      <c r="F14" s="559">
        <v>0</v>
      </c>
      <c r="G14" s="559">
        <f>0*60%</f>
        <v>0</v>
      </c>
      <c r="H14" s="560"/>
      <c r="I14" s="561">
        <f>ROUND((F14)*1/209*1.5,-1)*20</f>
        <v>0</v>
      </c>
      <c r="J14" s="1016"/>
      <c r="K14" s="561"/>
      <c r="L14" s="561"/>
      <c r="M14" s="561"/>
      <c r="N14" s="561"/>
      <c r="O14" s="561"/>
      <c r="P14" s="561"/>
      <c r="Q14" s="561"/>
      <c r="R14" s="561"/>
      <c r="S14" s="1003"/>
      <c r="T14" s="566">
        <v>0</v>
      </c>
      <c r="U14" s="566"/>
      <c r="V14" s="566">
        <f t="shared" si="0"/>
        <v>0</v>
      </c>
      <c r="W14" s="1005"/>
    </row>
    <row r="15" spans="1:23" ht="25.5" hidden="1" customHeight="1">
      <c r="A15" s="992">
        <v>5</v>
      </c>
      <c r="B15" s="994" t="s">
        <v>412</v>
      </c>
      <c r="C15" s="992" t="s">
        <v>90</v>
      </c>
      <c r="D15" s="558" t="s">
        <v>72</v>
      </c>
      <c r="E15" s="1007"/>
      <c r="F15" s="559">
        <v>0</v>
      </c>
      <c r="G15" s="559">
        <v>0</v>
      </c>
      <c r="H15" s="560">
        <v>0</v>
      </c>
      <c r="I15" s="561">
        <v>0</v>
      </c>
      <c r="J15" s="1015">
        <f>SUM(G15:I16)</f>
        <v>0</v>
      </c>
      <c r="K15" s="561">
        <f>ROUND((F15+F16+J15)*1/12,-1)</f>
        <v>0</v>
      </c>
      <c r="L15" s="561">
        <f>ROUND((F15+F16+J15)*3.495%,-1)</f>
        <v>0</v>
      </c>
      <c r="M15" s="561">
        <f>ROUND(L15*12.27%,-1)</f>
        <v>0</v>
      </c>
      <c r="N15" s="561">
        <f>INT(((F15+F16+J15)*4.5%)/10)*10</f>
        <v>0</v>
      </c>
      <c r="O15" s="561">
        <f>ROUND((F15+F16+J15)*1.05%,-1)</f>
        <v>0</v>
      </c>
      <c r="P15" s="561">
        <f>ROUND((F15+F16+J15)*0.8%,-1)</f>
        <v>0</v>
      </c>
      <c r="Q15" s="561">
        <f>SUM(L15:P15)</f>
        <v>0</v>
      </c>
      <c r="R15" s="561">
        <f>K15+Q15</f>
        <v>0</v>
      </c>
      <c r="S15" s="1002">
        <f>SUM(F15:F16)+SUM(J15:J16)+SUM(R15:R16)</f>
        <v>0</v>
      </c>
      <c r="T15" s="565"/>
      <c r="U15" s="565">
        <v>0</v>
      </c>
      <c r="V15" s="565">
        <f t="shared" si="0"/>
        <v>0</v>
      </c>
      <c r="W15" s="1006"/>
    </row>
    <row r="16" spans="1:23" ht="21.75" hidden="1" customHeight="1">
      <c r="A16" s="993"/>
      <c r="B16" s="993"/>
      <c r="C16" s="993"/>
      <c r="D16" s="558"/>
      <c r="E16" s="1008"/>
      <c r="F16" s="559">
        <v>0</v>
      </c>
      <c r="G16" s="559">
        <v>0</v>
      </c>
      <c r="H16" s="560">
        <v>0</v>
      </c>
      <c r="I16" s="561">
        <f>ROUND((F16)*1/209*1.5,-1)*20</f>
        <v>0</v>
      </c>
      <c r="J16" s="1016"/>
      <c r="K16" s="561"/>
      <c r="L16" s="561"/>
      <c r="M16" s="561"/>
      <c r="N16" s="561"/>
      <c r="O16" s="561"/>
      <c r="P16" s="561"/>
      <c r="Q16" s="561"/>
      <c r="R16" s="561"/>
      <c r="S16" s="1003"/>
      <c r="T16" s="566"/>
      <c r="U16" s="566"/>
      <c r="V16" s="566">
        <f t="shared" si="0"/>
        <v>0</v>
      </c>
      <c r="W16" s="1005"/>
    </row>
    <row r="17" spans="1:23" ht="25.5" hidden="1" customHeight="1">
      <c r="A17" s="992">
        <v>6</v>
      </c>
      <c r="B17" s="994" t="s">
        <v>216</v>
      </c>
      <c r="C17" s="992" t="s">
        <v>73</v>
      </c>
      <c r="D17" s="558" t="s">
        <v>79</v>
      </c>
      <c r="E17" s="1007" t="s">
        <v>179</v>
      </c>
      <c r="F17" s="567">
        <v>0</v>
      </c>
      <c r="G17" s="559">
        <v>0</v>
      </c>
      <c r="H17" s="560">
        <v>0</v>
      </c>
      <c r="I17" s="561">
        <f>ROUND((F17)*1/209*1.5,-1)*20</f>
        <v>0</v>
      </c>
      <c r="J17" s="1015">
        <f>SUM(G17:I18)</f>
        <v>0</v>
      </c>
      <c r="K17" s="561">
        <f>ROUND((F17+F18+J17)*1/12,-1)</f>
        <v>0</v>
      </c>
      <c r="L17" s="561">
        <f>ROUND((F17+F18+J17)*3.495%,-1)</f>
        <v>0</v>
      </c>
      <c r="M17" s="561">
        <f>ROUND(L17*12.27%,-1)</f>
        <v>0</v>
      </c>
      <c r="N17" s="561">
        <f>INT(((F17+F18+J17)*4.5%)/10)*10</f>
        <v>0</v>
      </c>
      <c r="O17" s="561">
        <f>ROUND((F17+F18+J17)*1.05%,-1)</f>
        <v>0</v>
      </c>
      <c r="P17" s="561">
        <f>ROUND((F17+F18+J17)*0.8%,-1)</f>
        <v>0</v>
      </c>
      <c r="Q17" s="561">
        <f>SUM(L17:P17)</f>
        <v>0</v>
      </c>
      <c r="R17" s="561">
        <f>K17+Q17</f>
        <v>0</v>
      </c>
      <c r="S17" s="1002">
        <f>SUM(F17:F18)+SUM(J17:J18)+SUM(R17:R18)</f>
        <v>0</v>
      </c>
      <c r="T17" s="565">
        <v>0</v>
      </c>
      <c r="U17" s="565">
        <v>0</v>
      </c>
      <c r="V17" s="565">
        <f t="shared" si="0"/>
        <v>0</v>
      </c>
      <c r="W17" s="1004" t="s">
        <v>187</v>
      </c>
    </row>
    <row r="18" spans="1:23" ht="25.5" hidden="1" customHeight="1">
      <c r="A18" s="993"/>
      <c r="B18" s="993"/>
      <c r="C18" s="993"/>
      <c r="D18" s="558" t="s">
        <v>93</v>
      </c>
      <c r="E18" s="1008"/>
      <c r="F18" s="567">
        <v>0</v>
      </c>
      <c r="G18" s="559">
        <v>0</v>
      </c>
      <c r="H18" s="560">
        <v>0</v>
      </c>
      <c r="I18" s="561">
        <f t="shared" si="1"/>
        <v>0</v>
      </c>
      <c r="J18" s="1016"/>
      <c r="K18" s="561"/>
      <c r="L18" s="561"/>
      <c r="M18" s="561"/>
      <c r="N18" s="561"/>
      <c r="O18" s="561"/>
      <c r="P18" s="561"/>
      <c r="Q18" s="561"/>
      <c r="R18" s="561"/>
      <c r="S18" s="1003"/>
      <c r="T18" s="566"/>
      <c r="U18" s="566"/>
      <c r="V18" s="566">
        <f t="shared" si="0"/>
        <v>0</v>
      </c>
      <c r="W18" s="1005"/>
    </row>
    <row r="19" spans="1:23" ht="25.5" hidden="1" customHeight="1">
      <c r="A19" s="992">
        <v>7</v>
      </c>
      <c r="B19" s="994" t="s">
        <v>334</v>
      </c>
      <c r="C19" s="992" t="s">
        <v>95</v>
      </c>
      <c r="D19" s="558" t="s">
        <v>72</v>
      </c>
      <c r="E19" s="1007"/>
      <c r="F19" s="559">
        <v>0</v>
      </c>
      <c r="G19" s="559">
        <v>0</v>
      </c>
      <c r="H19" s="560">
        <v>0</v>
      </c>
      <c r="I19" s="561">
        <v>0</v>
      </c>
      <c r="J19" s="1015">
        <f>SUM(G19:I20)</f>
        <v>0</v>
      </c>
      <c r="K19" s="561">
        <f>ROUND((F19+F20+J19)*1/12,-1)</f>
        <v>0</v>
      </c>
      <c r="L19" s="561">
        <f>ROUND((F19+F20+J19)*3.495%,-1)</f>
        <v>0</v>
      </c>
      <c r="M19" s="561">
        <f>ROUND(L19*12.27%,-1)</f>
        <v>0</v>
      </c>
      <c r="N19" s="561">
        <f>INT(((F19+F20+J19)*4.5%)/10)*10</f>
        <v>0</v>
      </c>
      <c r="O19" s="561">
        <f>ROUND((F19+F20+J19)*1.05%,-1)</f>
        <v>0</v>
      </c>
      <c r="P19" s="561">
        <f>ROUND((F19+F20+J19)*0.8%,-1)</f>
        <v>0</v>
      </c>
      <c r="Q19" s="561">
        <f>SUM(L19:P19)</f>
        <v>0</v>
      </c>
      <c r="R19" s="561">
        <f>K19+Q19</f>
        <v>0</v>
      </c>
      <c r="S19" s="1002">
        <f>SUM(F19:F20)+SUM(J19:J20)+SUM(R19:R20)</f>
        <v>0</v>
      </c>
      <c r="T19" s="565"/>
      <c r="U19" s="565">
        <v>0</v>
      </c>
      <c r="V19" s="565">
        <f t="shared" ref="V19:V20" si="2">T19+U19</f>
        <v>0</v>
      </c>
      <c r="W19" s="1006" t="s">
        <v>22</v>
      </c>
    </row>
    <row r="20" spans="1:23" ht="21.75" hidden="1" customHeight="1">
      <c r="A20" s="993"/>
      <c r="B20" s="993"/>
      <c r="C20" s="993"/>
      <c r="D20" s="558"/>
      <c r="E20" s="1008"/>
      <c r="F20" s="559">
        <v>0</v>
      </c>
      <c r="G20" s="559">
        <v>0</v>
      </c>
      <c r="H20" s="560">
        <v>0</v>
      </c>
      <c r="I20" s="561">
        <f>ROUND((F20)*1/209*1.5,-1)*20</f>
        <v>0</v>
      </c>
      <c r="J20" s="1016"/>
      <c r="K20" s="561"/>
      <c r="L20" s="561"/>
      <c r="M20" s="561"/>
      <c r="N20" s="561"/>
      <c r="O20" s="561"/>
      <c r="P20" s="561"/>
      <c r="Q20" s="561"/>
      <c r="R20" s="561"/>
      <c r="S20" s="1003"/>
      <c r="T20" s="566"/>
      <c r="U20" s="566"/>
      <c r="V20" s="566">
        <f t="shared" si="2"/>
        <v>0</v>
      </c>
      <c r="W20" s="1005"/>
    </row>
    <row r="21" spans="1:23" ht="25.5" hidden="1" customHeight="1">
      <c r="A21" s="992">
        <v>8</v>
      </c>
      <c r="B21" s="994" t="s">
        <v>117</v>
      </c>
      <c r="C21" s="992" t="s">
        <v>63</v>
      </c>
      <c r="D21" s="558" t="s">
        <v>76</v>
      </c>
      <c r="E21" s="1007" t="s">
        <v>136</v>
      </c>
      <c r="F21" s="559">
        <v>0</v>
      </c>
      <c r="G21" s="559">
        <v>0</v>
      </c>
      <c r="H21" s="560"/>
      <c r="I21" s="561">
        <f t="shared" si="1"/>
        <v>0</v>
      </c>
      <c r="J21" s="1015">
        <f>SUM(G21:I22)</f>
        <v>0</v>
      </c>
      <c r="K21" s="561">
        <f>ROUND((F21+F22+J21)*1/12,-1)</f>
        <v>0</v>
      </c>
      <c r="L21" s="561">
        <f>ROUND((F21+F22+J21)*3.495%,-1)</f>
        <v>0</v>
      </c>
      <c r="M21" s="561">
        <f>ROUND(L21*12.27%,-1)</f>
        <v>0</v>
      </c>
      <c r="N21" s="561">
        <f>INT(((F21+F22+J21)*4.5%)/10)*10</f>
        <v>0</v>
      </c>
      <c r="O21" s="561">
        <f>ROUND((F21+F22+J21)*1.05%,-1)</f>
        <v>0</v>
      </c>
      <c r="P21" s="561">
        <f>ROUND((F21+F22+J21)*0.8%,-1)</f>
        <v>0</v>
      </c>
      <c r="Q21" s="561">
        <f>SUM(L21:P21)</f>
        <v>0</v>
      </c>
      <c r="R21" s="561">
        <f>K21+Q21</f>
        <v>0</v>
      </c>
      <c r="S21" s="1002">
        <f>SUM(F21:F22)+SUM(J21:J22)+SUM(R21:R22)</f>
        <v>0</v>
      </c>
      <c r="T21" s="565">
        <v>0</v>
      </c>
      <c r="U21" s="565">
        <v>0</v>
      </c>
      <c r="V21" s="565">
        <f t="shared" si="0"/>
        <v>0</v>
      </c>
      <c r="W21" s="1004" t="s">
        <v>235</v>
      </c>
    </row>
    <row r="22" spans="1:23" ht="25.5" hidden="1" customHeight="1">
      <c r="A22" s="993"/>
      <c r="B22" s="993"/>
      <c r="C22" s="993"/>
      <c r="D22" s="558" t="s">
        <v>71</v>
      </c>
      <c r="E22" s="1008"/>
      <c r="F22" s="559">
        <v>0</v>
      </c>
      <c r="G22" s="559">
        <v>0</v>
      </c>
      <c r="H22" s="560"/>
      <c r="I22" s="561">
        <f>ROUND((F22)*1/209*1.5,-1)*20</f>
        <v>0</v>
      </c>
      <c r="J22" s="1016"/>
      <c r="K22" s="561"/>
      <c r="L22" s="561"/>
      <c r="M22" s="561"/>
      <c r="N22" s="561"/>
      <c r="O22" s="561"/>
      <c r="P22" s="561"/>
      <c r="Q22" s="561"/>
      <c r="R22" s="561"/>
      <c r="S22" s="1003"/>
      <c r="T22" s="566">
        <v>0</v>
      </c>
      <c r="U22" s="566">
        <v>0</v>
      </c>
      <c r="V22" s="566">
        <f t="shared" si="0"/>
        <v>0</v>
      </c>
      <c r="W22" s="1005"/>
    </row>
    <row r="23" spans="1:23" ht="25.5" hidden="1" customHeight="1">
      <c r="A23" s="992">
        <v>9</v>
      </c>
      <c r="B23" s="994" t="s">
        <v>363</v>
      </c>
      <c r="C23" s="992" t="s">
        <v>90</v>
      </c>
      <c r="D23" s="558" t="s">
        <v>72</v>
      </c>
      <c r="E23" s="1007"/>
      <c r="F23" s="559">
        <v>0</v>
      </c>
      <c r="G23" s="559">
        <v>0</v>
      </c>
      <c r="H23" s="560">
        <v>0</v>
      </c>
      <c r="I23" s="561">
        <v>0</v>
      </c>
      <c r="J23" s="1015">
        <f>SUM(G23:I24)</f>
        <v>0</v>
      </c>
      <c r="K23" s="561">
        <f>ROUND((F23+F24+J23)*1/12,-1)</f>
        <v>0</v>
      </c>
      <c r="L23" s="561">
        <f>ROUND((F23+F24+J23)*3.495%,-1)</f>
        <v>0</v>
      </c>
      <c r="M23" s="561">
        <f>ROUND(L23*12.27%,-1)</f>
        <v>0</v>
      </c>
      <c r="N23" s="561">
        <f>INT(((F23+F24+J23)*4.5%)/10)*10</f>
        <v>0</v>
      </c>
      <c r="O23" s="561">
        <f>ROUND((F23+F24+J23)*1.05%,-1)</f>
        <v>0</v>
      </c>
      <c r="P23" s="561">
        <f>ROUND((F23+F24+J23)*0.8%,-1)</f>
        <v>0</v>
      </c>
      <c r="Q23" s="561">
        <f>SUM(L23:P23)</f>
        <v>0</v>
      </c>
      <c r="R23" s="561">
        <f>K23+Q23</f>
        <v>0</v>
      </c>
      <c r="S23" s="1002">
        <f>SUM(F23:F24)+SUM(J23:J24)+SUM(R23:R24)</f>
        <v>0</v>
      </c>
      <c r="T23" s="565">
        <v>0</v>
      </c>
      <c r="U23" s="565">
        <v>0</v>
      </c>
      <c r="V23" s="565">
        <f t="shared" si="0"/>
        <v>0</v>
      </c>
      <c r="W23" s="1006"/>
    </row>
    <row r="24" spans="1:23" ht="21.75" hidden="1" customHeight="1">
      <c r="A24" s="993"/>
      <c r="B24" s="993"/>
      <c r="C24" s="993"/>
      <c r="D24" s="558"/>
      <c r="E24" s="1008"/>
      <c r="F24" s="559">
        <v>0</v>
      </c>
      <c r="G24" s="559">
        <v>0</v>
      </c>
      <c r="H24" s="560">
        <v>0</v>
      </c>
      <c r="I24" s="561">
        <f>ROUND((F24)*1/209*1.5,-1)*20</f>
        <v>0</v>
      </c>
      <c r="J24" s="1016"/>
      <c r="K24" s="561"/>
      <c r="L24" s="561"/>
      <c r="M24" s="561"/>
      <c r="N24" s="561"/>
      <c r="O24" s="561"/>
      <c r="P24" s="561"/>
      <c r="Q24" s="561"/>
      <c r="R24" s="561"/>
      <c r="S24" s="1003"/>
      <c r="T24" s="566">
        <v>0</v>
      </c>
      <c r="U24" s="566">
        <v>0</v>
      </c>
      <c r="V24" s="566">
        <f t="shared" si="0"/>
        <v>0</v>
      </c>
      <c r="W24" s="1005"/>
    </row>
    <row r="25" spans="1:23" ht="25.5" hidden="1" customHeight="1">
      <c r="A25" s="992">
        <v>10</v>
      </c>
      <c r="B25" s="994" t="s">
        <v>211</v>
      </c>
      <c r="C25" s="992" t="s">
        <v>60</v>
      </c>
      <c r="D25" s="568" t="s">
        <v>80</v>
      </c>
      <c r="E25" s="1007" t="s">
        <v>150</v>
      </c>
      <c r="F25" s="559">
        <v>0</v>
      </c>
      <c r="G25" s="559"/>
      <c r="H25" s="560">
        <v>0</v>
      </c>
      <c r="I25" s="561">
        <f>ROUND((F25)*1/209*1.5,-1)*20</f>
        <v>0</v>
      </c>
      <c r="J25" s="1015">
        <f>SUM(G25:I26)</f>
        <v>0</v>
      </c>
      <c r="K25" s="561">
        <f>ROUND((F25+F26+J25)*1/12,-1)</f>
        <v>0</v>
      </c>
      <c r="L25" s="561">
        <f>ROUND((F25+F26+J25)*3.495%,-1)</f>
        <v>0</v>
      </c>
      <c r="M25" s="561">
        <f>ROUND(L25*12.27%,-1)</f>
        <v>0</v>
      </c>
      <c r="N25" s="561">
        <f>INT(((F25+F26+J25)*4.5%)/10)*10</f>
        <v>0</v>
      </c>
      <c r="O25" s="561">
        <f>ROUND((F25+F26+J25)*1.05%,-1)</f>
        <v>0</v>
      </c>
      <c r="P25" s="561">
        <f>ROUND((F25+F26+J25)*0.8%,-1)</f>
        <v>0</v>
      </c>
      <c r="Q25" s="561">
        <f>SUM(L25:P25)</f>
        <v>0</v>
      </c>
      <c r="R25" s="561">
        <f>K25+Q25</f>
        <v>0</v>
      </c>
      <c r="S25" s="1002">
        <f>SUM(F25:F26)+SUM(J25:J26)+SUM(R25:R26)</f>
        <v>0</v>
      </c>
      <c r="T25" s="565">
        <v>0</v>
      </c>
      <c r="U25" s="565">
        <v>0</v>
      </c>
      <c r="V25" s="565">
        <f t="shared" si="0"/>
        <v>0</v>
      </c>
      <c r="W25" s="1006" t="s">
        <v>47</v>
      </c>
    </row>
    <row r="26" spans="1:23" ht="25.5" hidden="1" customHeight="1">
      <c r="A26" s="993"/>
      <c r="B26" s="993"/>
      <c r="C26" s="993"/>
      <c r="D26" s="568" t="s">
        <v>76</v>
      </c>
      <c r="E26" s="1008"/>
      <c r="F26" s="559">
        <v>0</v>
      </c>
      <c r="G26" s="559">
        <v>0</v>
      </c>
      <c r="H26" s="560">
        <v>0</v>
      </c>
      <c r="I26" s="561">
        <f t="shared" si="1"/>
        <v>0</v>
      </c>
      <c r="J26" s="1016"/>
      <c r="K26" s="561"/>
      <c r="L26" s="561"/>
      <c r="M26" s="561"/>
      <c r="N26" s="561"/>
      <c r="O26" s="561"/>
      <c r="P26" s="561"/>
      <c r="Q26" s="561"/>
      <c r="R26" s="561"/>
      <c r="S26" s="1003"/>
      <c r="T26" s="566">
        <v>0</v>
      </c>
      <c r="U26" s="566">
        <v>0</v>
      </c>
      <c r="V26" s="566">
        <f t="shared" si="0"/>
        <v>0</v>
      </c>
      <c r="W26" s="1005"/>
    </row>
    <row r="27" spans="1:23" ht="25.5" hidden="1" customHeight="1">
      <c r="A27" s="992">
        <v>11</v>
      </c>
      <c r="B27" s="994" t="s">
        <v>370</v>
      </c>
      <c r="C27" s="992" t="s">
        <v>74</v>
      </c>
      <c r="D27" s="558" t="s">
        <v>72</v>
      </c>
      <c r="E27" s="1007"/>
      <c r="F27" s="559">
        <v>0</v>
      </c>
      <c r="G27" s="559">
        <v>0</v>
      </c>
      <c r="H27" s="560">
        <v>0</v>
      </c>
      <c r="I27" s="561">
        <v>0</v>
      </c>
      <c r="J27" s="1015">
        <f>SUM(G27:I28)</f>
        <v>0</v>
      </c>
      <c r="K27" s="561">
        <f>ROUND((F27+F28+J27)*1/12,-1)</f>
        <v>0</v>
      </c>
      <c r="L27" s="561">
        <f>ROUND((F27+F28+J27)*3.495%,-1)</f>
        <v>0</v>
      </c>
      <c r="M27" s="561">
        <f>ROUND(L27*12.27%,-1)</f>
        <v>0</v>
      </c>
      <c r="N27" s="561">
        <f>INT(((F27+F28+J27)*4.5%)/10)*10</f>
        <v>0</v>
      </c>
      <c r="O27" s="561">
        <f>ROUND((F27+F28+J27)*1.05%,-1)</f>
        <v>0</v>
      </c>
      <c r="P27" s="561">
        <f>ROUND((F27+F28+J27)*0.8%,-1)</f>
        <v>0</v>
      </c>
      <c r="Q27" s="561">
        <f>SUM(L27:P27)</f>
        <v>0</v>
      </c>
      <c r="R27" s="561">
        <f>K27+Q27</f>
        <v>0</v>
      </c>
      <c r="S27" s="1002">
        <f>SUM(F27:F28)+SUM(J27:J28)+SUM(R27:R28)</f>
        <v>0</v>
      </c>
      <c r="T27" s="565"/>
      <c r="U27" s="565">
        <v>0</v>
      </c>
      <c r="V27" s="565">
        <f t="shared" si="0"/>
        <v>0</v>
      </c>
      <c r="W27" s="1006" t="s">
        <v>14</v>
      </c>
    </row>
    <row r="28" spans="1:23" ht="21.75" hidden="1" customHeight="1">
      <c r="A28" s="993"/>
      <c r="B28" s="993"/>
      <c r="C28" s="993"/>
      <c r="D28" s="558"/>
      <c r="E28" s="1008"/>
      <c r="F28" s="559">
        <v>0</v>
      </c>
      <c r="G28" s="559">
        <v>0</v>
      </c>
      <c r="H28" s="560">
        <v>0</v>
      </c>
      <c r="I28" s="561">
        <f>ROUND((F28)*1/209*1.5,-1)*20</f>
        <v>0</v>
      </c>
      <c r="J28" s="1016"/>
      <c r="K28" s="561"/>
      <c r="L28" s="561"/>
      <c r="M28" s="561"/>
      <c r="N28" s="561"/>
      <c r="O28" s="561"/>
      <c r="P28" s="561"/>
      <c r="Q28" s="561"/>
      <c r="R28" s="561"/>
      <c r="S28" s="1003"/>
      <c r="T28" s="566"/>
      <c r="U28" s="566">
        <v>0</v>
      </c>
      <c r="V28" s="566">
        <f t="shared" si="0"/>
        <v>0</v>
      </c>
      <c r="W28" s="1005"/>
    </row>
    <row r="29" spans="1:23" ht="25.5" hidden="1" customHeight="1">
      <c r="A29" s="992">
        <v>12</v>
      </c>
      <c r="B29" s="994" t="s">
        <v>227</v>
      </c>
      <c r="C29" s="992" t="s">
        <v>68</v>
      </c>
      <c r="D29" s="568" t="s">
        <v>79</v>
      </c>
      <c r="E29" s="1007" t="s">
        <v>179</v>
      </c>
      <c r="F29" s="559">
        <v>0</v>
      </c>
      <c r="G29" s="559">
        <v>0</v>
      </c>
      <c r="H29" s="560">
        <v>0</v>
      </c>
      <c r="I29" s="561">
        <f>ROUND((F29)*1/209*1.5,-1)*20</f>
        <v>0</v>
      </c>
      <c r="J29" s="1015">
        <f>SUM(G29:I30)</f>
        <v>0</v>
      </c>
      <c r="K29" s="561">
        <f>ROUND((F29+F30+J29)*1/12,-1)</f>
        <v>0</v>
      </c>
      <c r="L29" s="561">
        <f>ROUND((F29+F30+J29)*3.495%,-1)</f>
        <v>0</v>
      </c>
      <c r="M29" s="561">
        <f>ROUND(L29*12.27%,-1)</f>
        <v>0</v>
      </c>
      <c r="N29" s="561">
        <f>INT(((F29+F30+J29)*4.5%)/10)*10</f>
        <v>0</v>
      </c>
      <c r="O29" s="561">
        <f>ROUND((F29+F30+J29)*1.05%,-1)</f>
        <v>0</v>
      </c>
      <c r="P29" s="561">
        <f>ROUND((F29+F30+J29)*0.8%,-1)</f>
        <v>0</v>
      </c>
      <c r="Q29" s="561">
        <f>SUM(L29:P29)</f>
        <v>0</v>
      </c>
      <c r="R29" s="561">
        <f>K29+Q29</f>
        <v>0</v>
      </c>
      <c r="S29" s="1002">
        <f>SUM(F29:F30)+SUM(J29:J30)+SUM(R29:R30)</f>
        <v>0</v>
      </c>
      <c r="T29" s="565">
        <v>0</v>
      </c>
      <c r="U29" s="565">
        <v>0</v>
      </c>
      <c r="V29" s="565">
        <f t="shared" si="0"/>
        <v>0</v>
      </c>
      <c r="W29" s="1006" t="s">
        <v>23</v>
      </c>
    </row>
    <row r="30" spans="1:23" ht="25.5" hidden="1" customHeight="1">
      <c r="A30" s="993"/>
      <c r="B30" s="993"/>
      <c r="C30" s="993"/>
      <c r="D30" s="568" t="s">
        <v>93</v>
      </c>
      <c r="E30" s="1008"/>
      <c r="F30" s="559">
        <v>0</v>
      </c>
      <c r="G30" s="559">
        <v>0</v>
      </c>
      <c r="H30" s="560">
        <v>0</v>
      </c>
      <c r="I30" s="561">
        <f t="shared" si="1"/>
        <v>0</v>
      </c>
      <c r="J30" s="1016"/>
      <c r="K30" s="561"/>
      <c r="L30" s="561"/>
      <c r="M30" s="561"/>
      <c r="N30" s="561"/>
      <c r="O30" s="561"/>
      <c r="P30" s="561"/>
      <c r="Q30" s="561"/>
      <c r="R30" s="561"/>
      <c r="S30" s="1003"/>
      <c r="T30" s="566"/>
      <c r="U30" s="566">
        <v>0</v>
      </c>
      <c r="V30" s="566">
        <f t="shared" si="0"/>
        <v>0</v>
      </c>
      <c r="W30" s="1005"/>
    </row>
    <row r="31" spans="1:23" ht="25.5" hidden="1" customHeight="1">
      <c r="A31" s="992">
        <v>13</v>
      </c>
      <c r="B31" s="994" t="s">
        <v>361</v>
      </c>
      <c r="C31" s="992" t="s">
        <v>90</v>
      </c>
      <c r="D31" s="558" t="s">
        <v>72</v>
      </c>
      <c r="E31" s="1007"/>
      <c r="F31" s="559">
        <v>0</v>
      </c>
      <c r="G31" s="559">
        <v>0</v>
      </c>
      <c r="H31" s="560">
        <v>0</v>
      </c>
      <c r="I31" s="561">
        <v>0</v>
      </c>
      <c r="J31" s="1015">
        <f>SUM(G31:I32)</f>
        <v>0</v>
      </c>
      <c r="K31" s="561">
        <f>ROUND((F31+F32+J31)*1/12,-1)</f>
        <v>0</v>
      </c>
      <c r="L31" s="561">
        <f>ROUND((F31+F32+J31)*3.495%,-1)</f>
        <v>0</v>
      </c>
      <c r="M31" s="561">
        <f>ROUND(L31*12.27%,-1)</f>
        <v>0</v>
      </c>
      <c r="N31" s="561">
        <f>INT(((F31+F32+J31)*4.5%)/10)*10</f>
        <v>0</v>
      </c>
      <c r="O31" s="561">
        <f>ROUND((F31+F32+J31)*1.05%,-1)</f>
        <v>0</v>
      </c>
      <c r="P31" s="561">
        <f>ROUND((F31+F32+J31)*0.8%,-1)</f>
        <v>0</v>
      </c>
      <c r="Q31" s="561">
        <f>SUM(L31:P31)</f>
        <v>0</v>
      </c>
      <c r="R31" s="561">
        <f>K31+Q31</f>
        <v>0</v>
      </c>
      <c r="S31" s="1002">
        <f>SUM(F31:F32)+SUM(J31:J32)+SUM(R31:R32)</f>
        <v>0</v>
      </c>
      <c r="T31" s="565"/>
      <c r="U31" s="565">
        <v>0</v>
      </c>
      <c r="V31" s="565">
        <f t="shared" si="0"/>
        <v>0</v>
      </c>
      <c r="W31" s="1006"/>
    </row>
    <row r="32" spans="1:23" ht="21.75" hidden="1" customHeight="1">
      <c r="A32" s="993"/>
      <c r="B32" s="993"/>
      <c r="C32" s="993"/>
      <c r="D32" s="558"/>
      <c r="E32" s="1008"/>
      <c r="F32" s="559">
        <v>0</v>
      </c>
      <c r="G32" s="559">
        <v>0</v>
      </c>
      <c r="H32" s="560">
        <v>0</v>
      </c>
      <c r="I32" s="561">
        <f>ROUND((F32)*1/209*1.5,-1)*20</f>
        <v>0</v>
      </c>
      <c r="J32" s="1016"/>
      <c r="K32" s="561"/>
      <c r="L32" s="561"/>
      <c r="M32" s="561"/>
      <c r="N32" s="561"/>
      <c r="O32" s="561"/>
      <c r="P32" s="561"/>
      <c r="Q32" s="561"/>
      <c r="R32" s="561"/>
      <c r="S32" s="1003"/>
      <c r="T32" s="566"/>
      <c r="U32" s="566"/>
      <c r="V32" s="566">
        <f t="shared" si="0"/>
        <v>0</v>
      </c>
      <c r="W32" s="1005"/>
    </row>
    <row r="33" spans="1:23" ht="25.5" hidden="1" customHeight="1">
      <c r="A33" s="992">
        <v>14</v>
      </c>
      <c r="B33" s="994" t="s">
        <v>225</v>
      </c>
      <c r="C33" s="992" t="s">
        <v>53</v>
      </c>
      <c r="D33" s="568" t="s">
        <v>80</v>
      </c>
      <c r="E33" s="1007" t="s">
        <v>84</v>
      </c>
      <c r="F33" s="559">
        <v>0</v>
      </c>
      <c r="G33" s="559">
        <v>0</v>
      </c>
      <c r="H33" s="560"/>
      <c r="I33" s="561">
        <f t="shared" si="1"/>
        <v>0</v>
      </c>
      <c r="J33" s="1015">
        <f>SUM(G33:I34)</f>
        <v>0</v>
      </c>
      <c r="K33" s="561">
        <f>ROUND((F33+F34+J33)*1/12,-1)</f>
        <v>0</v>
      </c>
      <c r="L33" s="561">
        <f>ROUND((F33+F34+J33)*3.495%,-1)</f>
        <v>0</v>
      </c>
      <c r="M33" s="561">
        <f>ROUND(L33*12.27%,-1)</f>
        <v>0</v>
      </c>
      <c r="N33" s="561">
        <f>INT(((F33+F34+J33)*4.5%)/10)*10</f>
        <v>0</v>
      </c>
      <c r="O33" s="561">
        <f>ROUND((F33+F34+J33)*1.05%,-1)</f>
        <v>0</v>
      </c>
      <c r="P33" s="561">
        <f>ROUND((F33+F34+J33)*0.8%,-1)</f>
        <v>0</v>
      </c>
      <c r="Q33" s="561">
        <f>SUM(L33:P33)</f>
        <v>0</v>
      </c>
      <c r="R33" s="561">
        <f>K33+Q33</f>
        <v>0</v>
      </c>
      <c r="S33" s="1002">
        <f>SUM(F33:F34)+SUM(J33:J34)+SUM(R33:R34)</f>
        <v>0</v>
      </c>
      <c r="T33" s="565">
        <v>0</v>
      </c>
      <c r="U33" s="565">
        <v>0</v>
      </c>
      <c r="V33" s="565">
        <f t="shared" si="0"/>
        <v>0</v>
      </c>
      <c r="W33" s="1006" t="s">
        <v>47</v>
      </c>
    </row>
    <row r="34" spans="1:23" ht="25.5" hidden="1" customHeight="1">
      <c r="A34" s="993"/>
      <c r="B34" s="993"/>
      <c r="C34" s="993"/>
      <c r="D34" s="568" t="s">
        <v>76</v>
      </c>
      <c r="E34" s="1008"/>
      <c r="F34" s="559">
        <v>0</v>
      </c>
      <c r="G34" s="559">
        <v>0</v>
      </c>
      <c r="H34" s="560"/>
      <c r="I34" s="561">
        <f t="shared" si="1"/>
        <v>0</v>
      </c>
      <c r="J34" s="1016"/>
      <c r="K34" s="561"/>
      <c r="L34" s="561"/>
      <c r="M34" s="561"/>
      <c r="N34" s="561"/>
      <c r="O34" s="561"/>
      <c r="P34" s="561"/>
      <c r="Q34" s="561"/>
      <c r="R34" s="561"/>
      <c r="S34" s="1003"/>
      <c r="T34" s="566"/>
      <c r="U34" s="566"/>
      <c r="V34" s="566">
        <f t="shared" si="0"/>
        <v>0</v>
      </c>
      <c r="W34" s="1005"/>
    </row>
    <row r="35" spans="1:23" ht="25.5" hidden="1" customHeight="1">
      <c r="A35" s="992">
        <v>15</v>
      </c>
      <c r="B35" s="994" t="s">
        <v>420</v>
      </c>
      <c r="C35" s="992" t="s">
        <v>90</v>
      </c>
      <c r="D35" s="558" t="s">
        <v>72</v>
      </c>
      <c r="E35" s="1007"/>
      <c r="F35" s="559">
        <v>0</v>
      </c>
      <c r="G35" s="559">
        <v>0</v>
      </c>
      <c r="H35" s="560">
        <v>0</v>
      </c>
      <c r="I35" s="561">
        <v>0</v>
      </c>
      <c r="J35" s="1015">
        <f>SUM(G35:I36)</f>
        <v>0</v>
      </c>
      <c r="K35" s="561">
        <f>ROUND((F35+F36+J35)*1/12,-1)</f>
        <v>0</v>
      </c>
      <c r="L35" s="561">
        <f>ROUND((F35+F36+J35)*3.495%,-1)</f>
        <v>0</v>
      </c>
      <c r="M35" s="561">
        <f>ROUND(L35*12.27%,-1)</f>
        <v>0</v>
      </c>
      <c r="N35" s="561">
        <f>INT(((F35+F36+J35)*4.5%)/10)*10</f>
        <v>0</v>
      </c>
      <c r="O35" s="561">
        <f>ROUND((F35+F36+J35)*1.05%,-1)</f>
        <v>0</v>
      </c>
      <c r="P35" s="561">
        <f>ROUND((F35+F36+J35)*0.8%,-1)</f>
        <v>0</v>
      </c>
      <c r="Q35" s="561">
        <f>SUM(L35:P35)</f>
        <v>0</v>
      </c>
      <c r="R35" s="561">
        <f>K35+Q35</f>
        <v>0</v>
      </c>
      <c r="S35" s="1002">
        <f>SUM(F35:F36)+SUM(J35:J36)+SUM(R35:R36)</f>
        <v>0</v>
      </c>
      <c r="T35" s="565"/>
      <c r="U35" s="565">
        <v>0</v>
      </c>
      <c r="V35" s="565">
        <f t="shared" si="0"/>
        <v>0</v>
      </c>
      <c r="W35" s="1006"/>
    </row>
    <row r="36" spans="1:23" ht="21.75" hidden="1" customHeight="1">
      <c r="A36" s="993"/>
      <c r="B36" s="993"/>
      <c r="C36" s="993"/>
      <c r="D36" s="558"/>
      <c r="E36" s="1008"/>
      <c r="F36" s="559">
        <v>0</v>
      </c>
      <c r="G36" s="559">
        <v>0</v>
      </c>
      <c r="H36" s="560">
        <v>0</v>
      </c>
      <c r="I36" s="561">
        <f>ROUND((F36)*1/209*1.5,-1)*20</f>
        <v>0</v>
      </c>
      <c r="J36" s="1016"/>
      <c r="K36" s="561"/>
      <c r="L36" s="561"/>
      <c r="M36" s="561"/>
      <c r="N36" s="561"/>
      <c r="O36" s="561"/>
      <c r="P36" s="561"/>
      <c r="Q36" s="561"/>
      <c r="R36" s="561"/>
      <c r="S36" s="1003"/>
      <c r="T36" s="566"/>
      <c r="U36" s="566"/>
      <c r="V36" s="566">
        <f t="shared" si="0"/>
        <v>0</v>
      </c>
      <c r="W36" s="1005"/>
    </row>
    <row r="37" spans="1:23" ht="25.5" hidden="1" customHeight="1">
      <c r="A37" s="992">
        <v>16</v>
      </c>
      <c r="B37" s="994" t="s">
        <v>206</v>
      </c>
      <c r="C37" s="992" t="s">
        <v>85</v>
      </c>
      <c r="D37" s="568" t="s">
        <v>80</v>
      </c>
      <c r="E37" s="1007" t="s">
        <v>156</v>
      </c>
      <c r="F37" s="559">
        <v>0</v>
      </c>
      <c r="G37" s="559">
        <v>0</v>
      </c>
      <c r="H37" s="560"/>
      <c r="I37" s="561">
        <f t="shared" si="1"/>
        <v>0</v>
      </c>
      <c r="J37" s="1015">
        <f>SUM(G37:I38)</f>
        <v>0</v>
      </c>
      <c r="K37" s="561">
        <f>ROUND((F37+F38+J37)*1/12,-1)</f>
        <v>0</v>
      </c>
      <c r="L37" s="561">
        <f>ROUND((F37+F38+J37)*3.495%,-1)</f>
        <v>0</v>
      </c>
      <c r="M37" s="561">
        <f>ROUND(L37*12.27%,-1)</f>
        <v>0</v>
      </c>
      <c r="N37" s="561">
        <f>INT(((F37+F38+J37)*4.5%)/10)*10</f>
        <v>0</v>
      </c>
      <c r="O37" s="561">
        <f>ROUND((F37+F38+J37)*1.05%,-1)</f>
        <v>0</v>
      </c>
      <c r="P37" s="561">
        <f>ROUND((F37+F38+J37)*0.8%,-1)</f>
        <v>0</v>
      </c>
      <c r="Q37" s="561">
        <f>SUM(L37:P37)</f>
        <v>0</v>
      </c>
      <c r="R37" s="561">
        <f>K37+Q37</f>
        <v>0</v>
      </c>
      <c r="S37" s="1002">
        <f>SUM(F37:F38)+SUM(J37:J38)+SUM(R37:R38)</f>
        <v>0</v>
      </c>
      <c r="T37" s="565">
        <v>0</v>
      </c>
      <c r="U37" s="565">
        <v>0</v>
      </c>
      <c r="V37" s="565">
        <f t="shared" si="0"/>
        <v>0</v>
      </c>
      <c r="W37" s="1006" t="s">
        <v>47</v>
      </c>
    </row>
    <row r="38" spans="1:23" ht="25.5" hidden="1" customHeight="1">
      <c r="A38" s="993"/>
      <c r="B38" s="993"/>
      <c r="C38" s="993"/>
      <c r="D38" s="568" t="s">
        <v>76</v>
      </c>
      <c r="E38" s="1008"/>
      <c r="F38" s="559">
        <v>0</v>
      </c>
      <c r="G38" s="559">
        <v>0</v>
      </c>
      <c r="H38" s="560"/>
      <c r="I38" s="561">
        <f t="shared" si="1"/>
        <v>0</v>
      </c>
      <c r="J38" s="1016"/>
      <c r="K38" s="561"/>
      <c r="L38" s="561"/>
      <c r="M38" s="561"/>
      <c r="N38" s="561"/>
      <c r="O38" s="561"/>
      <c r="P38" s="561"/>
      <c r="Q38" s="561"/>
      <c r="R38" s="561"/>
      <c r="S38" s="1003"/>
      <c r="T38" s="566"/>
      <c r="U38" s="566"/>
      <c r="V38" s="566">
        <f t="shared" si="0"/>
        <v>0</v>
      </c>
      <c r="W38" s="1005"/>
    </row>
    <row r="39" spans="1:23" ht="25.5" hidden="1" customHeight="1">
      <c r="A39" s="992">
        <v>17</v>
      </c>
      <c r="B39" s="994" t="s">
        <v>358</v>
      </c>
      <c r="C39" s="992" t="s">
        <v>90</v>
      </c>
      <c r="D39" s="558" t="s">
        <v>72</v>
      </c>
      <c r="E39" s="1007"/>
      <c r="F39" s="559">
        <v>0</v>
      </c>
      <c r="G39" s="559">
        <v>0</v>
      </c>
      <c r="H39" s="560">
        <v>0</v>
      </c>
      <c r="I39" s="561">
        <v>0</v>
      </c>
      <c r="J39" s="1015">
        <f>SUM(G39:I40)</f>
        <v>0</v>
      </c>
      <c r="K39" s="561">
        <f>ROUND((F39+F40+J39)*1/12,-1)</f>
        <v>0</v>
      </c>
      <c r="L39" s="561">
        <f>ROUND((F39+F40+J39)*3.495%,-1)</f>
        <v>0</v>
      </c>
      <c r="M39" s="561">
        <f>ROUND(L39*12.27%,-1)</f>
        <v>0</v>
      </c>
      <c r="N39" s="561">
        <f>INT(((F39+F40+J39)*4.5%)/10)*10</f>
        <v>0</v>
      </c>
      <c r="O39" s="561">
        <f>ROUND((F39+F40+J39)*1.05%,-1)</f>
        <v>0</v>
      </c>
      <c r="P39" s="561">
        <f>ROUND((F39+F40+J39)*0.8%,-1)</f>
        <v>0</v>
      </c>
      <c r="Q39" s="561">
        <f>SUM(L39:P39)</f>
        <v>0</v>
      </c>
      <c r="R39" s="561">
        <f>K39+Q39</f>
        <v>0</v>
      </c>
      <c r="S39" s="1002">
        <f>SUM(F39:F40)+SUM(J39:J40)+SUM(R39:R40)</f>
        <v>0</v>
      </c>
      <c r="T39" s="565"/>
      <c r="U39" s="565">
        <v>0</v>
      </c>
      <c r="V39" s="565">
        <f t="shared" si="0"/>
        <v>0</v>
      </c>
      <c r="W39" s="1006"/>
    </row>
    <row r="40" spans="1:23" ht="21.75" hidden="1" customHeight="1">
      <c r="A40" s="993"/>
      <c r="B40" s="993"/>
      <c r="C40" s="993"/>
      <c r="D40" s="558"/>
      <c r="E40" s="1008"/>
      <c r="F40" s="559">
        <v>0</v>
      </c>
      <c r="G40" s="559">
        <v>0</v>
      </c>
      <c r="H40" s="560">
        <v>0</v>
      </c>
      <c r="I40" s="561">
        <f>ROUND((F40)*1/209*1.5,-1)*20</f>
        <v>0</v>
      </c>
      <c r="J40" s="1016"/>
      <c r="K40" s="561"/>
      <c r="L40" s="561"/>
      <c r="M40" s="561"/>
      <c r="N40" s="561"/>
      <c r="O40" s="561"/>
      <c r="P40" s="561"/>
      <c r="Q40" s="561"/>
      <c r="R40" s="561"/>
      <c r="S40" s="1003"/>
      <c r="T40" s="566"/>
      <c r="U40" s="566"/>
      <c r="V40" s="566">
        <f t="shared" si="0"/>
        <v>0</v>
      </c>
      <c r="W40" s="1005"/>
    </row>
    <row r="41" spans="1:23" ht="24" customHeight="1">
      <c r="A41" s="989" t="s">
        <v>108</v>
      </c>
      <c r="B41" s="990"/>
      <c r="C41" s="990"/>
      <c r="D41" s="991"/>
      <c r="E41" s="569"/>
      <c r="F41" s="570">
        <f t="shared" ref="F41:V41" si="3">SUM(F5:F40)</f>
        <v>65999100</v>
      </c>
      <c r="G41" s="570">
        <f t="shared" si="3"/>
        <v>5915820</v>
      </c>
      <c r="H41" s="570">
        <f t="shared" si="3"/>
        <v>120000</v>
      </c>
      <c r="I41" s="570">
        <f t="shared" si="3"/>
        <v>9473400</v>
      </c>
      <c r="J41" s="570">
        <f t="shared" si="3"/>
        <v>15509220</v>
      </c>
      <c r="K41" s="570">
        <f t="shared" si="3"/>
        <v>6792360</v>
      </c>
      <c r="L41" s="570">
        <f t="shared" si="3"/>
        <v>2889470</v>
      </c>
      <c r="M41" s="570">
        <f t="shared" si="3"/>
        <v>374190</v>
      </c>
      <c r="N41" s="570">
        <f t="shared" si="3"/>
        <v>348080</v>
      </c>
      <c r="O41" s="570">
        <f t="shared" si="3"/>
        <v>88950</v>
      </c>
      <c r="P41" s="570">
        <f t="shared" si="3"/>
        <v>55690</v>
      </c>
      <c r="Q41" s="570">
        <f t="shared" si="3"/>
        <v>3756380</v>
      </c>
      <c r="R41" s="570">
        <f t="shared" si="3"/>
        <v>10548740</v>
      </c>
      <c r="S41" s="570">
        <f>SUM(S5:S40)</f>
        <v>92057060</v>
      </c>
      <c r="T41" s="570">
        <f t="shared" si="3"/>
        <v>5400000</v>
      </c>
      <c r="U41" s="570">
        <f t="shared" si="3"/>
        <v>1200000</v>
      </c>
      <c r="V41" s="570">
        <f t="shared" si="3"/>
        <v>6600000</v>
      </c>
      <c r="W41" s="571"/>
    </row>
    <row r="42" spans="1:23" ht="10.5" customHeight="1">
      <c r="A42" s="572"/>
      <c r="B42" s="572"/>
      <c r="C42" s="572"/>
      <c r="D42" s="572"/>
      <c r="E42" s="572"/>
      <c r="F42" s="573"/>
      <c r="G42" s="573"/>
      <c r="H42" s="573"/>
      <c r="I42" s="573"/>
      <c r="J42" s="573"/>
      <c r="K42" s="573"/>
      <c r="L42" s="573"/>
      <c r="M42" s="573"/>
      <c r="N42" s="573"/>
      <c r="O42" s="573"/>
      <c r="P42" s="573"/>
      <c r="Q42" s="573"/>
      <c r="R42" s="573"/>
      <c r="S42" s="573"/>
      <c r="T42" s="573"/>
      <c r="U42" s="573"/>
      <c r="V42" s="573"/>
      <c r="W42" s="574"/>
    </row>
    <row r="49" hidden="1"/>
  </sheetData>
  <mergeCells count="140">
    <mergeCell ref="A39:A40"/>
    <mergeCell ref="B39:B40"/>
    <mergeCell ref="C39:C40"/>
    <mergeCell ref="E39:E40"/>
    <mergeCell ref="J39:J40"/>
    <mergeCell ref="S39:S40"/>
    <mergeCell ref="W39:W40"/>
    <mergeCell ref="A35:A36"/>
    <mergeCell ref="B35:B36"/>
    <mergeCell ref="C35:C36"/>
    <mergeCell ref="E35:E36"/>
    <mergeCell ref="J35:J36"/>
    <mergeCell ref="A15:A16"/>
    <mergeCell ref="B15:B16"/>
    <mergeCell ref="C15:C16"/>
    <mergeCell ref="E15:E16"/>
    <mergeCell ref="J15:J16"/>
    <mergeCell ref="A21:A22"/>
    <mergeCell ref="S27:S28"/>
    <mergeCell ref="W27:W28"/>
    <mergeCell ref="A31:A32"/>
    <mergeCell ref="B31:B32"/>
    <mergeCell ref="C31:C32"/>
    <mergeCell ref="E31:E32"/>
    <mergeCell ref="J31:J32"/>
    <mergeCell ref="S31:S32"/>
    <mergeCell ref="W31:W32"/>
    <mergeCell ref="A27:A28"/>
    <mergeCell ref="B27:B28"/>
    <mergeCell ref="C27:C28"/>
    <mergeCell ref="E27:E28"/>
    <mergeCell ref="J27:J28"/>
    <mergeCell ref="W17:W18"/>
    <mergeCell ref="S21:S22"/>
    <mergeCell ref="S25:S26"/>
    <mergeCell ref="W21:W22"/>
    <mergeCell ref="E33:E34"/>
    <mergeCell ref="E37:E38"/>
    <mergeCell ref="E9:E10"/>
    <mergeCell ref="E13:E14"/>
    <mergeCell ref="E17:E18"/>
    <mergeCell ref="E21:E22"/>
    <mergeCell ref="E25:E26"/>
    <mergeCell ref="E19:E20"/>
    <mergeCell ref="J9:J10"/>
    <mergeCell ref="J13:J14"/>
    <mergeCell ref="J17:J18"/>
    <mergeCell ref="J21:J22"/>
    <mergeCell ref="J25:J26"/>
    <mergeCell ref="J19:J20"/>
    <mergeCell ref="E29:E30"/>
    <mergeCell ref="B23:B24"/>
    <mergeCell ref="S15:S16"/>
    <mergeCell ref="W15:W16"/>
    <mergeCell ref="C19:C20"/>
    <mergeCell ref="S19:S20"/>
    <mergeCell ref="W19:W20"/>
    <mergeCell ref="C23:C24"/>
    <mergeCell ref="E23:E24"/>
    <mergeCell ref="J23:J24"/>
    <mergeCell ref="S23:S24"/>
    <mergeCell ref="W23:W24"/>
    <mergeCell ref="C17:C18"/>
    <mergeCell ref="C21:C22"/>
    <mergeCell ref="S29:S30"/>
    <mergeCell ref="W29:W30"/>
    <mergeCell ref="S33:S34"/>
    <mergeCell ref="W33:W34"/>
    <mergeCell ref="S37:S38"/>
    <mergeCell ref="W37:W38"/>
    <mergeCell ref="S7:S8"/>
    <mergeCell ref="W7:W8"/>
    <mergeCell ref="J29:J30"/>
    <mergeCell ref="J33:J34"/>
    <mergeCell ref="J37:J38"/>
    <mergeCell ref="J7:J8"/>
    <mergeCell ref="W25:W26"/>
    <mergeCell ref="S17:S18"/>
    <mergeCell ref="S11:S12"/>
    <mergeCell ref="W11:W12"/>
    <mergeCell ref="J11:J12"/>
    <mergeCell ref="S35:S36"/>
    <mergeCell ref="W35:W36"/>
    <mergeCell ref="A1:W1"/>
    <mergeCell ref="A3:A4"/>
    <mergeCell ref="B3:B4"/>
    <mergeCell ref="D3:D4"/>
    <mergeCell ref="F3:F4"/>
    <mergeCell ref="G3:J3"/>
    <mergeCell ref="K3:K4"/>
    <mergeCell ref="Q3:Q4"/>
    <mergeCell ref="S3:S4"/>
    <mergeCell ref="C3:C4"/>
    <mergeCell ref="L3:P3"/>
    <mergeCell ref="E3:E4"/>
    <mergeCell ref="A5:A6"/>
    <mergeCell ref="B5:B6"/>
    <mergeCell ref="W3:W4"/>
    <mergeCell ref="R3:R4"/>
    <mergeCell ref="T3:V3"/>
    <mergeCell ref="S9:S10"/>
    <mergeCell ref="W9:W10"/>
    <mergeCell ref="S13:S14"/>
    <mergeCell ref="W13:W14"/>
    <mergeCell ref="S5:S6"/>
    <mergeCell ref="C5:C6"/>
    <mergeCell ref="W5:W6"/>
    <mergeCell ref="E5:E6"/>
    <mergeCell ref="A7:A8"/>
    <mergeCell ref="B7:B8"/>
    <mergeCell ref="C7:C8"/>
    <mergeCell ref="A11:A12"/>
    <mergeCell ref="B11:B12"/>
    <mergeCell ref="C11:C12"/>
    <mergeCell ref="E11:E12"/>
    <mergeCell ref="C13:C14"/>
    <mergeCell ref="A41:D41"/>
    <mergeCell ref="A9:A10"/>
    <mergeCell ref="B9:B10"/>
    <mergeCell ref="A13:A14"/>
    <mergeCell ref="B13:B14"/>
    <mergeCell ref="A17:A18"/>
    <mergeCell ref="A29:A30"/>
    <mergeCell ref="B29:B30"/>
    <mergeCell ref="A33:A34"/>
    <mergeCell ref="B33:B34"/>
    <mergeCell ref="A37:A38"/>
    <mergeCell ref="B37:B38"/>
    <mergeCell ref="C29:C30"/>
    <mergeCell ref="C33:C34"/>
    <mergeCell ref="C37:C38"/>
    <mergeCell ref="C9:C10"/>
    <mergeCell ref="A25:A26"/>
    <mergeCell ref="A19:A20"/>
    <mergeCell ref="B17:B18"/>
    <mergeCell ref="B21:B22"/>
    <mergeCell ref="B25:B26"/>
    <mergeCell ref="C25:C26"/>
    <mergeCell ref="B19:B20"/>
    <mergeCell ref="A23:A24"/>
  </mergeCells>
  <phoneticPr fontId="65" type="noConversion"/>
  <pageMargins left="0.7086111307144165" right="0.7086111307144165" top="0.59041666984558105" bottom="0" header="0.31486111879348755" footer="0.31486111879348755"/>
  <pageSetup paperSize="9" scale="55" fitToHeight="0" orientation="landscape" r:id="rId1"/>
  <legacyDrawing r:id="rId2"/>
</worksheet>
</file>

<file path=xl/worksheets/sheet1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12">
    <pageSetUpPr fitToPage="1"/>
  </sheetPr>
  <dimension ref="A1:O16"/>
  <sheetViews>
    <sheetView view="pageBreakPreview" zoomScale="60" zoomScaleNormal="100" workbookViewId="0">
      <selection activeCell="H5" sqref="H5:K6"/>
    </sheetView>
  </sheetViews>
  <sheetFormatPr defaultColWidth="8.75" defaultRowHeight="13.5"/>
  <cols>
    <col min="5" max="5" width="9.625" bestFit="1" customWidth="1"/>
    <col min="6" max="6" width="10.125" bestFit="1" customWidth="1"/>
    <col min="7" max="7" width="8.875" bestFit="1" customWidth="1"/>
    <col min="8" max="8" width="9.25" bestFit="1" customWidth="1"/>
    <col min="9" max="9" width="13" bestFit="1" customWidth="1"/>
    <col min="10" max="10" width="8.75" bestFit="1" customWidth="1"/>
    <col min="11" max="11" width="9.625" bestFit="1" customWidth="1"/>
    <col min="12" max="13" width="10.625" customWidth="1"/>
    <col min="14" max="14" width="14.125" customWidth="1"/>
    <col min="15" max="15" width="15.25" customWidth="1"/>
  </cols>
  <sheetData>
    <row r="1" spans="1:15" ht="17.25">
      <c r="A1" s="1017" t="s">
        <v>528</v>
      </c>
      <c r="B1" s="1017"/>
      <c r="C1" s="1017"/>
      <c r="D1" s="1017"/>
      <c r="E1" s="1017"/>
      <c r="F1" s="1017"/>
      <c r="G1" s="1017"/>
      <c r="H1" s="1017"/>
      <c r="I1" s="1017"/>
      <c r="J1" s="1017"/>
      <c r="K1" s="1017"/>
      <c r="L1" s="1017"/>
      <c r="M1" s="1017"/>
      <c r="N1" s="1017"/>
      <c r="O1" s="1017"/>
    </row>
    <row r="2" spans="1:15" ht="20.25" customHeight="1">
      <c r="A2" s="47"/>
      <c r="B2" s="48"/>
      <c r="C2" s="48"/>
      <c r="D2" s="48"/>
      <c r="E2" s="48"/>
      <c r="F2" s="48"/>
      <c r="G2" s="48"/>
      <c r="H2" s="48"/>
      <c r="I2" s="48"/>
      <c r="J2" s="48"/>
      <c r="K2" s="48"/>
      <c r="L2" s="48"/>
      <c r="M2" s="48"/>
      <c r="N2" s="48"/>
      <c r="O2" s="48"/>
    </row>
    <row r="3" spans="1:15" ht="20.25" customHeight="1">
      <c r="A3" s="1018" t="s">
        <v>105</v>
      </c>
      <c r="B3" s="1018" t="s">
        <v>140</v>
      </c>
      <c r="C3" s="1018" t="s">
        <v>122</v>
      </c>
      <c r="D3" s="1018" t="s">
        <v>116</v>
      </c>
      <c r="E3" s="1020" t="s">
        <v>113</v>
      </c>
      <c r="F3" s="1022" t="s">
        <v>130</v>
      </c>
      <c r="G3" s="1023"/>
      <c r="H3" s="1024" t="s">
        <v>44</v>
      </c>
      <c r="I3" s="1024" t="s">
        <v>406</v>
      </c>
      <c r="J3" s="1024" t="s">
        <v>114</v>
      </c>
      <c r="K3" s="1020" t="s">
        <v>137</v>
      </c>
      <c r="L3" s="1022" t="s">
        <v>201</v>
      </c>
      <c r="M3" s="1032"/>
      <c r="N3" s="1023"/>
      <c r="O3" s="1020" t="s">
        <v>112</v>
      </c>
    </row>
    <row r="4" spans="1:15" ht="30" customHeight="1">
      <c r="A4" s="1019"/>
      <c r="B4" s="1019"/>
      <c r="C4" s="1019"/>
      <c r="D4" s="1019"/>
      <c r="E4" s="1021"/>
      <c r="F4" s="32" t="s">
        <v>422</v>
      </c>
      <c r="G4" s="32" t="s">
        <v>436</v>
      </c>
      <c r="H4" s="1025"/>
      <c r="I4" s="1025"/>
      <c r="J4" s="1025"/>
      <c r="K4" s="1021"/>
      <c r="L4" s="52" t="s">
        <v>132</v>
      </c>
      <c r="M4" s="52" t="s">
        <v>132</v>
      </c>
      <c r="N4" s="49" t="s">
        <v>224</v>
      </c>
      <c r="O4" s="1021"/>
    </row>
    <row r="5" spans="1:15" ht="24" customHeight="1">
      <c r="A5" s="1030">
        <v>1</v>
      </c>
      <c r="B5" s="1030" t="s">
        <v>152</v>
      </c>
      <c r="C5" s="1030" t="s">
        <v>99</v>
      </c>
      <c r="D5" s="35" t="s">
        <v>75</v>
      </c>
      <c r="E5" s="455">
        <f>1830000*12</f>
        <v>21960000</v>
      </c>
      <c r="F5" s="455">
        <f>1830000*60%*2</f>
        <v>2196000</v>
      </c>
      <c r="G5" s="456">
        <f>F5</f>
        <v>2196000</v>
      </c>
      <c r="H5" s="456">
        <v>2013000</v>
      </c>
      <c r="I5" s="456">
        <v>2420560</v>
      </c>
      <c r="J5" s="456">
        <f>H5+I5</f>
        <v>4433560</v>
      </c>
      <c r="K5" s="1033">
        <f>E5:E6+G5:G6+J5:J6</f>
        <v>28589560</v>
      </c>
      <c r="L5" s="1035"/>
      <c r="M5" s="1035"/>
      <c r="N5" s="1035"/>
      <c r="O5" s="1030" t="s">
        <v>306</v>
      </c>
    </row>
    <row r="6" spans="1:15" ht="24" customHeight="1">
      <c r="A6" s="1031"/>
      <c r="B6" s="1031"/>
      <c r="C6" s="1031"/>
      <c r="D6" s="35"/>
      <c r="E6" s="455"/>
      <c r="F6" s="455"/>
      <c r="G6" s="456"/>
      <c r="H6" s="456"/>
      <c r="I6" s="456"/>
      <c r="J6" s="456"/>
      <c r="K6" s="1034"/>
      <c r="L6" s="1036"/>
      <c r="M6" s="1036"/>
      <c r="N6" s="1036"/>
      <c r="O6" s="1031"/>
    </row>
    <row r="7" spans="1:15" ht="45" customHeight="1">
      <c r="A7" s="1027" t="s">
        <v>108</v>
      </c>
      <c r="B7" s="1028"/>
      <c r="C7" s="1028"/>
      <c r="D7" s="1029"/>
      <c r="E7" s="457">
        <f>SUM(E5:E6)</f>
        <v>21960000</v>
      </c>
      <c r="F7" s="457">
        <f t="shared" ref="F7:K7" si="0">SUM(F5:F6)</f>
        <v>2196000</v>
      </c>
      <c r="G7" s="457">
        <f t="shared" si="0"/>
        <v>2196000</v>
      </c>
      <c r="H7" s="457">
        <f t="shared" si="0"/>
        <v>2013000</v>
      </c>
      <c r="I7" s="457">
        <f t="shared" si="0"/>
        <v>2420560</v>
      </c>
      <c r="J7" s="457">
        <f t="shared" si="0"/>
        <v>4433560</v>
      </c>
      <c r="K7" s="457">
        <f t="shared" si="0"/>
        <v>28589560</v>
      </c>
      <c r="L7" s="457">
        <f>SUM(L5:L6)</f>
        <v>0</v>
      </c>
      <c r="M7" s="457">
        <f>SUM(M5:M6)</f>
        <v>0</v>
      </c>
      <c r="N7" s="457">
        <f>SUM(N5:N6)</f>
        <v>0</v>
      </c>
      <c r="O7" s="41"/>
    </row>
    <row r="8" spans="1:15" ht="35.1" customHeight="1">
      <c r="A8" s="29"/>
      <c r="B8" s="29"/>
      <c r="C8" s="29"/>
      <c r="D8" s="29"/>
      <c r="E8" s="30"/>
      <c r="F8" s="30"/>
      <c r="G8" s="30"/>
      <c r="H8" s="30"/>
      <c r="I8" s="30"/>
      <c r="J8" s="30"/>
      <c r="K8" s="30"/>
      <c r="L8" s="30"/>
      <c r="M8" s="30"/>
      <c r="N8" s="30"/>
      <c r="O8" s="31"/>
    </row>
    <row r="9" spans="1:15" ht="35.1" customHeight="1">
      <c r="A9" s="1026"/>
      <c r="B9" s="1026"/>
      <c r="C9" s="1026"/>
      <c r="D9" s="1026"/>
      <c r="E9" s="1026"/>
      <c r="F9" s="1026"/>
      <c r="G9" s="1026"/>
      <c r="H9" s="1026"/>
      <c r="I9" s="1026"/>
      <c r="J9" s="1026"/>
      <c r="K9" s="1026"/>
      <c r="L9" s="51"/>
      <c r="M9" s="51"/>
      <c r="N9" s="51"/>
      <c r="O9" s="31"/>
    </row>
    <row r="10" spans="1:15" ht="35.1" customHeight="1"/>
    <row r="11" spans="1:15" ht="35.1" customHeight="1"/>
    <row r="12" spans="1:15" ht="35.1" customHeight="1"/>
    <row r="13" spans="1:15" ht="35.1" customHeight="1"/>
    <row r="14" spans="1:15" ht="35.1" customHeight="1"/>
    <row r="15" spans="1:15" ht="35.1" customHeight="1"/>
    <row r="16" spans="1:15" ht="35.1" customHeight="1"/>
  </sheetData>
  <mergeCells count="23">
    <mergeCell ref="A9:K9"/>
    <mergeCell ref="A7:D7"/>
    <mergeCell ref="O5:O6"/>
    <mergeCell ref="K3:K4"/>
    <mergeCell ref="L3:N3"/>
    <mergeCell ref="O3:O4"/>
    <mergeCell ref="A5:A6"/>
    <mergeCell ref="B5:B6"/>
    <mergeCell ref="C5:C6"/>
    <mergeCell ref="K5:K6"/>
    <mergeCell ref="L5:L6"/>
    <mergeCell ref="M5:M6"/>
    <mergeCell ref="N5:N6"/>
    <mergeCell ref="A1:O1"/>
    <mergeCell ref="A3:A4"/>
    <mergeCell ref="B3:B4"/>
    <mergeCell ref="C3:C4"/>
    <mergeCell ref="D3:D4"/>
    <mergeCell ref="E3:E4"/>
    <mergeCell ref="F3:G3"/>
    <mergeCell ref="H3:H4"/>
    <mergeCell ref="I3:I4"/>
    <mergeCell ref="J3:J4"/>
  </mergeCells>
  <phoneticPr fontId="65" type="noConversion"/>
  <pageMargins left="0.7086111307144165" right="0.7086111307144165" top="0.74763888120651245" bottom="0.46986111998558044" header="0.31486111879348755" footer="0.31486111879348755"/>
  <pageSetup paperSize="9" scale="86" fitToHeight="0" orientation="landscape" r:id="rId1"/>
  <colBreaks count="1" manualBreakCount="1">
    <brk id="15" max="16383" man="1"/>
  </colBreaks>
</worksheet>
</file>

<file path=xl/worksheets/sheet1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13"/>
  <dimension ref="A1:AC139"/>
  <sheetViews>
    <sheetView view="pageBreakPreview" zoomScale="85" zoomScaleNormal="110" zoomScaleSheetLayoutView="85" workbookViewId="0">
      <pane xSplit="4" ySplit="5" topLeftCell="O6" activePane="bottomRight" state="frozen"/>
      <selection pane="topRight"/>
      <selection pane="bottomLeft"/>
      <selection pane="bottomRight" activeCell="W24" sqref="W24"/>
    </sheetView>
  </sheetViews>
  <sheetFormatPr defaultColWidth="9" defaultRowHeight="13.5"/>
  <cols>
    <col min="1" max="1" width="5.125" style="174" customWidth="1"/>
    <col min="2" max="2" width="11.375" style="174" customWidth="1"/>
    <col min="3" max="3" width="7.125" style="174" customWidth="1"/>
    <col min="4" max="4" width="3.375" style="174" hidden="1" customWidth="1"/>
    <col min="5" max="5" width="9.25" style="174" customWidth="1"/>
    <col min="6" max="6" width="17.75" style="174" customWidth="1"/>
    <col min="7" max="10" width="12.75" style="174" hidden="1" customWidth="1"/>
    <col min="11" max="11" width="13.5" style="174" hidden="1" customWidth="1"/>
    <col min="12" max="12" width="12.75" style="174" hidden="1" customWidth="1"/>
    <col min="13" max="13" width="16" style="174" customWidth="1"/>
    <col min="14" max="14" width="17.75" style="174" hidden="1" customWidth="1"/>
    <col min="15" max="15" width="13.375" style="174" customWidth="1"/>
    <col min="16" max="16" width="16.125" style="174" hidden="1" customWidth="1"/>
    <col min="17" max="17" width="11.375" style="174" customWidth="1"/>
    <col min="18" max="18" width="17.75" style="174" customWidth="1"/>
    <col min="19" max="20" width="17.75" style="174" hidden="1" customWidth="1"/>
    <col min="21" max="21" width="17.75" style="174" customWidth="1"/>
    <col min="22" max="22" width="10.5" style="373" hidden="1" customWidth="1"/>
    <col min="23" max="29" width="15.125" style="174" customWidth="1"/>
    <col min="30" max="16384" width="9" style="174"/>
  </cols>
  <sheetData>
    <row r="1" spans="1:29" s="331" customFormat="1" ht="27.75" customHeight="1">
      <c r="A1" s="1038" t="s">
        <v>529</v>
      </c>
      <c r="B1" s="1038"/>
      <c r="C1" s="1038"/>
      <c r="D1" s="1038"/>
      <c r="E1" s="1038"/>
      <c r="F1" s="1038"/>
      <c r="G1" s="1038"/>
      <c r="H1" s="1038"/>
      <c r="I1" s="1038"/>
      <c r="J1" s="1038"/>
      <c r="K1" s="1038"/>
      <c r="L1" s="1038"/>
      <c r="M1" s="1038"/>
      <c r="N1" s="328"/>
      <c r="O1" s="328"/>
      <c r="P1" s="328"/>
      <c r="Q1" s="328"/>
      <c r="R1" s="328"/>
      <c r="S1" s="328"/>
      <c r="T1" s="328"/>
      <c r="U1" s="329"/>
      <c r="V1" s="330"/>
      <c r="W1" s="328"/>
      <c r="X1" s="328"/>
      <c r="Y1" s="328"/>
      <c r="Z1" s="328"/>
      <c r="AA1" s="328"/>
      <c r="AB1" s="328"/>
      <c r="AC1" s="328"/>
    </row>
    <row r="2" spans="1:29" s="331" customFormat="1" ht="6" hidden="1" customHeight="1">
      <c r="A2" s="328"/>
      <c r="B2" s="328"/>
      <c r="C2" s="328"/>
      <c r="D2" s="328"/>
      <c r="E2" s="328"/>
      <c r="F2" s="328"/>
      <c r="G2" s="328"/>
      <c r="H2" s="328"/>
      <c r="I2" s="328"/>
      <c r="J2" s="328"/>
      <c r="K2" s="328"/>
      <c r="L2" s="328"/>
      <c r="M2" s="328"/>
      <c r="N2" s="328"/>
      <c r="O2" s="328"/>
      <c r="P2" s="328"/>
      <c r="Q2" s="328"/>
      <c r="R2" s="328"/>
      <c r="S2" s="328"/>
      <c r="T2" s="328"/>
      <c r="U2" s="328"/>
      <c r="V2" s="330"/>
      <c r="W2" s="328"/>
      <c r="X2" s="328"/>
      <c r="Y2" s="328"/>
      <c r="Z2" s="328"/>
      <c r="AA2" s="328"/>
      <c r="AB2" s="328"/>
      <c r="AC2" s="328"/>
    </row>
    <row r="3" spans="1:29" s="331" customFormat="1" ht="19.5" customHeight="1">
      <c r="A3" s="1039" t="s">
        <v>215</v>
      </c>
      <c r="B3" s="1039"/>
      <c r="C3" s="332"/>
      <c r="D3" s="332"/>
      <c r="E3" s="332"/>
      <c r="F3" s="333"/>
      <c r="G3" s="333"/>
      <c r="H3" s="333"/>
      <c r="I3" s="333"/>
      <c r="J3" s="333"/>
      <c r="K3" s="334"/>
      <c r="L3" s="334"/>
      <c r="M3" s="334"/>
      <c r="N3" s="335"/>
      <c r="O3" s="336"/>
      <c r="P3" s="336"/>
      <c r="Q3" s="336"/>
      <c r="R3" s="336"/>
      <c r="S3" s="336"/>
      <c r="T3" s="333"/>
      <c r="U3" s="333"/>
      <c r="V3" s="337"/>
      <c r="W3" s="333"/>
      <c r="X3" s="333"/>
      <c r="Y3" s="333"/>
      <c r="Z3" s="333"/>
      <c r="AA3" s="333"/>
      <c r="AB3" s="336"/>
      <c r="AC3" s="338" t="s">
        <v>210</v>
      </c>
    </row>
    <row r="4" spans="1:29" s="332" customFormat="1" ht="39" customHeight="1">
      <c r="A4" s="339" t="s">
        <v>170</v>
      </c>
      <c r="B4" s="340" t="s">
        <v>171</v>
      </c>
      <c r="C4" s="340" t="s">
        <v>69</v>
      </c>
      <c r="D4" s="340" t="s">
        <v>158</v>
      </c>
      <c r="E4" s="340" t="s">
        <v>309</v>
      </c>
      <c r="F4" s="341" t="s">
        <v>168</v>
      </c>
      <c r="G4" s="342" t="s">
        <v>535</v>
      </c>
      <c r="H4" s="342" t="s">
        <v>226</v>
      </c>
      <c r="I4" s="342" t="s">
        <v>40</v>
      </c>
      <c r="J4" s="342" t="s">
        <v>18</v>
      </c>
      <c r="K4" s="342" t="s">
        <v>18</v>
      </c>
      <c r="L4" s="342" t="s">
        <v>18</v>
      </c>
      <c r="M4" s="342" t="s">
        <v>511</v>
      </c>
      <c r="N4" s="343"/>
      <c r="O4" s="342" t="s">
        <v>531</v>
      </c>
      <c r="P4" s="342" t="s">
        <v>319</v>
      </c>
      <c r="Q4" s="342" t="s">
        <v>450</v>
      </c>
      <c r="R4" s="342" t="s">
        <v>188</v>
      </c>
      <c r="S4" s="342" t="s">
        <v>532</v>
      </c>
      <c r="T4" s="342" t="s">
        <v>48</v>
      </c>
      <c r="U4" s="344" t="s">
        <v>342</v>
      </c>
      <c r="V4" s="345" t="s">
        <v>316</v>
      </c>
      <c r="W4" s="346" t="s">
        <v>464</v>
      </c>
      <c r="X4" s="344" t="s">
        <v>438</v>
      </c>
      <c r="Y4" s="344" t="s">
        <v>504</v>
      </c>
      <c r="Z4" s="347" t="s">
        <v>46</v>
      </c>
      <c r="AA4" s="344" t="s">
        <v>452</v>
      </c>
      <c r="AB4" s="347" t="s">
        <v>467</v>
      </c>
      <c r="AC4" s="348" t="s">
        <v>327</v>
      </c>
    </row>
    <row r="5" spans="1:29" s="352" customFormat="1" ht="21" customHeight="1">
      <c r="A5" s="1040" t="s">
        <v>353</v>
      </c>
      <c r="B5" s="1041"/>
      <c r="C5" s="1041"/>
      <c r="D5" s="1041"/>
      <c r="E5" s="1041"/>
      <c r="F5" s="349">
        <f>F6+F19+F32+F45+F58+F71+F84+F97+F110</f>
        <v>233952000</v>
      </c>
      <c r="G5" s="349">
        <f t="shared" ref="G5:AC5" si="0">G6+G19+G32+G45+G58+G71+G84+G97+G110</f>
        <v>0</v>
      </c>
      <c r="H5" s="349">
        <f t="shared" si="0"/>
        <v>0</v>
      </c>
      <c r="I5" s="349">
        <f t="shared" si="0"/>
        <v>0</v>
      </c>
      <c r="J5" s="349">
        <f t="shared" si="0"/>
        <v>0</v>
      </c>
      <c r="K5" s="349">
        <f t="shared" si="0"/>
        <v>0</v>
      </c>
      <c r="L5" s="349">
        <f t="shared" si="0"/>
        <v>0</v>
      </c>
      <c r="M5" s="349">
        <f t="shared" si="0"/>
        <v>23395200</v>
      </c>
      <c r="N5" s="349">
        <f t="shared" si="0"/>
        <v>0</v>
      </c>
      <c r="O5" s="349">
        <f t="shared" si="0"/>
        <v>5760000</v>
      </c>
      <c r="P5" s="349">
        <f t="shared" si="0"/>
        <v>0</v>
      </c>
      <c r="Q5" s="349">
        <f t="shared" si="0"/>
        <v>0</v>
      </c>
      <c r="R5" s="349">
        <f t="shared" si="0"/>
        <v>33585600</v>
      </c>
      <c r="S5" s="349">
        <f t="shared" si="0"/>
        <v>0</v>
      </c>
      <c r="T5" s="349">
        <f t="shared" si="0"/>
        <v>0</v>
      </c>
      <c r="U5" s="349">
        <f t="shared" si="0"/>
        <v>296692800</v>
      </c>
      <c r="V5" s="350">
        <f t="shared" si="0"/>
        <v>0</v>
      </c>
      <c r="W5" s="351">
        <f t="shared" si="0"/>
        <v>24724540</v>
      </c>
      <c r="X5" s="349">
        <f t="shared" si="0"/>
        <v>13351150</v>
      </c>
      <c r="Y5" s="349">
        <f t="shared" si="0"/>
        <v>9895340</v>
      </c>
      <c r="Z5" s="349">
        <f t="shared" si="0"/>
        <v>1014790</v>
      </c>
      <c r="AA5" s="349">
        <f t="shared" si="0"/>
        <v>3115300</v>
      </c>
      <c r="AB5" s="349">
        <f t="shared" si="0"/>
        <v>2352800</v>
      </c>
      <c r="AC5" s="350">
        <f t="shared" si="0"/>
        <v>54453920</v>
      </c>
    </row>
    <row r="6" spans="1:29" s="352" customFormat="1" ht="16.5" customHeight="1">
      <c r="A6" s="1037">
        <v>1</v>
      </c>
      <c r="B6" s="353" t="s">
        <v>317</v>
      </c>
      <c r="C6" s="354" t="s">
        <v>346</v>
      </c>
      <c r="D6" s="353">
        <v>1</v>
      </c>
      <c r="E6" s="355" t="s">
        <v>164</v>
      </c>
      <c r="F6" s="356">
        <f>SUM(F7:F18)</f>
        <v>0</v>
      </c>
      <c r="G6" s="356">
        <f t="shared" ref="G6:AB6" si="1">SUM(G7:G18)</f>
        <v>0</v>
      </c>
      <c r="H6" s="356">
        <f t="shared" si="1"/>
        <v>0</v>
      </c>
      <c r="I6" s="356">
        <f t="shared" si="1"/>
        <v>0</v>
      </c>
      <c r="J6" s="356">
        <f t="shared" si="1"/>
        <v>0</v>
      </c>
      <c r="K6" s="356">
        <f t="shared" si="1"/>
        <v>0</v>
      </c>
      <c r="L6" s="356">
        <f t="shared" si="1"/>
        <v>0</v>
      </c>
      <c r="M6" s="356">
        <f>SUM(M7:M18)</f>
        <v>0</v>
      </c>
      <c r="N6" s="356">
        <f t="shared" si="1"/>
        <v>0</v>
      </c>
      <c r="O6" s="356">
        <f t="shared" si="1"/>
        <v>0</v>
      </c>
      <c r="P6" s="356">
        <f t="shared" si="1"/>
        <v>0</v>
      </c>
      <c r="Q6" s="356"/>
      <c r="R6" s="356">
        <f>SUM(R7:R18)</f>
        <v>0</v>
      </c>
      <c r="S6" s="356">
        <f t="shared" si="1"/>
        <v>0</v>
      </c>
      <c r="T6" s="356">
        <f t="shared" si="1"/>
        <v>0</v>
      </c>
      <c r="U6" s="356">
        <f>SUM(U7:U18)</f>
        <v>0</v>
      </c>
      <c r="V6" s="357"/>
      <c r="W6" s="358">
        <f t="shared" si="1"/>
        <v>0</v>
      </c>
      <c r="X6" s="356">
        <f t="shared" si="1"/>
        <v>0</v>
      </c>
      <c r="Y6" s="356">
        <f t="shared" si="1"/>
        <v>0</v>
      </c>
      <c r="Z6" s="356">
        <f t="shared" si="1"/>
        <v>0</v>
      </c>
      <c r="AA6" s="356">
        <f t="shared" si="1"/>
        <v>0</v>
      </c>
      <c r="AB6" s="356">
        <f t="shared" si="1"/>
        <v>0</v>
      </c>
      <c r="AC6" s="359">
        <f>SUM(AC7:AC18)</f>
        <v>0</v>
      </c>
    </row>
    <row r="7" spans="1:29" s="332" customFormat="1" ht="16.5" customHeight="1">
      <c r="A7" s="1037"/>
      <c r="B7" s="353" t="s">
        <v>177</v>
      </c>
      <c r="C7" s="360">
        <v>13</v>
      </c>
      <c r="D7" s="360"/>
      <c r="E7" s="361" t="s">
        <v>94</v>
      </c>
      <c r="F7" s="362">
        <v>0</v>
      </c>
      <c r="G7" s="363"/>
      <c r="H7" s="364"/>
      <c r="I7" s="363"/>
      <c r="J7" s="363"/>
      <c r="K7" s="363"/>
      <c r="L7" s="363"/>
      <c r="M7" s="363" t="s">
        <v>58</v>
      </c>
      <c r="N7" s="363"/>
      <c r="O7" s="363" t="s">
        <v>58</v>
      </c>
      <c r="P7" s="363"/>
      <c r="Q7" s="363"/>
      <c r="R7" s="363"/>
      <c r="S7" s="363"/>
      <c r="T7" s="363"/>
      <c r="U7" s="356">
        <f>SUM(F7,M7,O7,R7,T7,S7)</f>
        <v>0</v>
      </c>
      <c r="V7" s="357"/>
      <c r="W7" s="365">
        <f>ROUNDUP(U7*1/12,-1)</f>
        <v>0</v>
      </c>
      <c r="X7" s="366">
        <f>ROUND(U7*4.5%,-1)</f>
        <v>0</v>
      </c>
      <c r="Y7" s="366">
        <f>ROUNDUP((U7-L7)*3.23%,-1)</f>
        <v>0</v>
      </c>
      <c r="Z7" s="366">
        <f>ROUNDUP(Y7*8.51%,-1)</f>
        <v>0</v>
      </c>
      <c r="AA7" s="366">
        <v>0</v>
      </c>
      <c r="AB7" s="366">
        <v>0</v>
      </c>
      <c r="AC7" s="367">
        <f t="shared" ref="AC7:AC18" si="2">SUM(W7:AB7)</f>
        <v>0</v>
      </c>
    </row>
    <row r="8" spans="1:29" s="332" customFormat="1" ht="16.5" customHeight="1">
      <c r="A8" s="1037"/>
      <c r="B8" s="353"/>
      <c r="C8" s="353"/>
      <c r="D8" s="353"/>
      <c r="E8" s="368" t="s">
        <v>150</v>
      </c>
      <c r="F8" s="363">
        <f>F7</f>
        <v>0</v>
      </c>
      <c r="G8" s="363"/>
      <c r="H8" s="363"/>
      <c r="I8" s="363"/>
      <c r="J8" s="363"/>
      <c r="K8" s="363"/>
      <c r="L8" s="363"/>
      <c r="M8" s="363">
        <f>F8*60%</f>
        <v>0</v>
      </c>
      <c r="N8" s="363"/>
      <c r="O8" s="363" t="s">
        <v>58</v>
      </c>
      <c r="P8" s="363"/>
      <c r="Q8" s="363">
        <f>ROUND((F7+T7)*1/209*1.5,-1)</f>
        <v>0</v>
      </c>
      <c r="R8" s="363">
        <f>Q8*20</f>
        <v>0</v>
      </c>
      <c r="S8" s="363">
        <f>Q8*5</f>
        <v>0</v>
      </c>
      <c r="T8" s="363"/>
      <c r="U8" s="356">
        <f t="shared" ref="U8:U18" si="3">SUM(F8,M8,O8,R8,T8,S8)</f>
        <v>0</v>
      </c>
      <c r="V8" s="357"/>
      <c r="W8" s="365">
        <f>ROUNDUP((T8+U8)*1/12,-1)</f>
        <v>0</v>
      </c>
      <c r="X8" s="366">
        <f>ROUND(U8*4.5%,-1)</f>
        <v>0</v>
      </c>
      <c r="Y8" s="366">
        <f t="shared" ref="Y8:Y18" si="4">ROUNDUP((U8-L8)*3.23%,-1)</f>
        <v>0</v>
      </c>
      <c r="Z8" s="366">
        <f t="shared" ref="Z8:Z18" si="5">ROUNDUP(Y8*8.51%,-1)</f>
        <v>0</v>
      </c>
      <c r="AA8" s="366">
        <v>0</v>
      </c>
      <c r="AB8" s="366">
        <v>0</v>
      </c>
      <c r="AC8" s="367">
        <f t="shared" si="2"/>
        <v>0</v>
      </c>
    </row>
    <row r="9" spans="1:29" s="332" customFormat="1" ht="16.5" customHeight="1">
      <c r="A9" s="1037"/>
      <c r="B9" s="353"/>
      <c r="C9" s="353"/>
      <c r="D9" s="353"/>
      <c r="E9" s="368" t="s">
        <v>82</v>
      </c>
      <c r="F9" s="363">
        <f>F7</f>
        <v>0</v>
      </c>
      <c r="G9" s="363"/>
      <c r="H9" s="363"/>
      <c r="I9" s="363"/>
      <c r="J9" s="363"/>
      <c r="K9" s="363"/>
      <c r="L9" s="363"/>
      <c r="M9" s="363"/>
      <c r="N9" s="363"/>
      <c r="O9" s="363" t="s">
        <v>58</v>
      </c>
      <c r="P9" s="363"/>
      <c r="Q9" s="363">
        <f t="shared" ref="Q9:Q18" si="6">ROUND((F8+T8)*1/209*1.5,-1)</f>
        <v>0</v>
      </c>
      <c r="R9" s="363">
        <f t="shared" ref="R9:R17" si="7">Q9*20</f>
        <v>0</v>
      </c>
      <c r="S9" s="363">
        <f t="shared" ref="S9:S18" si="8">Q9*5</f>
        <v>0</v>
      </c>
      <c r="T9" s="363"/>
      <c r="U9" s="356">
        <f>SUM(F9,M9,O9,R9,T9,S9)</f>
        <v>0</v>
      </c>
      <c r="V9" s="357"/>
      <c r="W9" s="365">
        <f t="shared" ref="W9:W18" si="9">ROUNDUP(U9*1/12,-1)</f>
        <v>0</v>
      </c>
      <c r="X9" s="366">
        <f t="shared" ref="X9:X18" si="10">ROUND(U9*4.5%,-1)</f>
        <v>0</v>
      </c>
      <c r="Y9" s="366">
        <f t="shared" si="4"/>
        <v>0</v>
      </c>
      <c r="Z9" s="366">
        <f t="shared" si="5"/>
        <v>0</v>
      </c>
      <c r="AA9" s="366">
        <v>0</v>
      </c>
      <c r="AB9" s="366">
        <v>0</v>
      </c>
      <c r="AC9" s="367">
        <f t="shared" si="2"/>
        <v>0</v>
      </c>
    </row>
    <row r="10" spans="1:29" s="332" customFormat="1" ht="16.5" customHeight="1">
      <c r="A10" s="1037"/>
      <c r="B10" s="353"/>
      <c r="C10" s="353"/>
      <c r="D10" s="353"/>
      <c r="E10" s="368" t="s">
        <v>159</v>
      </c>
      <c r="F10" s="363">
        <f>F8</f>
        <v>0</v>
      </c>
      <c r="G10" s="363"/>
      <c r="H10" s="363"/>
      <c r="I10" s="363"/>
      <c r="J10" s="363"/>
      <c r="K10" s="363"/>
      <c r="L10" s="363"/>
      <c r="M10" s="363"/>
      <c r="N10" s="363"/>
      <c r="O10" s="363" t="s">
        <v>58</v>
      </c>
      <c r="P10" s="363"/>
      <c r="Q10" s="363">
        <f t="shared" si="6"/>
        <v>0</v>
      </c>
      <c r="R10" s="363">
        <f t="shared" si="7"/>
        <v>0</v>
      </c>
      <c r="S10" s="363">
        <f t="shared" si="8"/>
        <v>0</v>
      </c>
      <c r="T10" s="363"/>
      <c r="U10" s="356">
        <f t="shared" si="3"/>
        <v>0</v>
      </c>
      <c r="V10" s="357"/>
      <c r="W10" s="365">
        <f>ROUNDUP(U10*1/12,-1)</f>
        <v>0</v>
      </c>
      <c r="X10" s="366">
        <f t="shared" si="10"/>
        <v>0</v>
      </c>
      <c r="Y10" s="366">
        <f t="shared" si="4"/>
        <v>0</v>
      </c>
      <c r="Z10" s="366">
        <f t="shared" si="5"/>
        <v>0</v>
      </c>
      <c r="AA10" s="366">
        <v>0</v>
      </c>
      <c r="AB10" s="366">
        <v>0</v>
      </c>
      <c r="AC10" s="367">
        <f t="shared" si="2"/>
        <v>0</v>
      </c>
    </row>
    <row r="11" spans="1:29" s="332" customFormat="1" ht="16.5" customHeight="1">
      <c r="A11" s="1037"/>
      <c r="B11" s="353"/>
      <c r="C11" s="353"/>
      <c r="D11" s="353"/>
      <c r="E11" s="368" t="s">
        <v>61</v>
      </c>
      <c r="F11" s="363">
        <f>F9</f>
        <v>0</v>
      </c>
      <c r="G11" s="363"/>
      <c r="H11" s="363"/>
      <c r="I11" s="363"/>
      <c r="J11" s="363"/>
      <c r="K11" s="363"/>
      <c r="L11" s="363"/>
      <c r="M11" s="363"/>
      <c r="N11" s="363"/>
      <c r="O11" s="363" t="s">
        <v>58</v>
      </c>
      <c r="P11" s="363"/>
      <c r="Q11" s="363">
        <f t="shared" si="6"/>
        <v>0</v>
      </c>
      <c r="R11" s="363">
        <f t="shared" si="7"/>
        <v>0</v>
      </c>
      <c r="S11" s="363">
        <f t="shared" si="8"/>
        <v>0</v>
      </c>
      <c r="T11" s="363"/>
      <c r="U11" s="356">
        <f t="shared" si="3"/>
        <v>0</v>
      </c>
      <c r="V11" s="357"/>
      <c r="W11" s="365">
        <f t="shared" si="9"/>
        <v>0</v>
      </c>
      <c r="X11" s="366">
        <f t="shared" si="10"/>
        <v>0</v>
      </c>
      <c r="Y11" s="366">
        <f t="shared" si="4"/>
        <v>0</v>
      </c>
      <c r="Z11" s="366">
        <f t="shared" si="5"/>
        <v>0</v>
      </c>
      <c r="AA11" s="366">
        <v>0</v>
      </c>
      <c r="AB11" s="366">
        <v>0</v>
      </c>
      <c r="AC11" s="367">
        <f t="shared" si="2"/>
        <v>0</v>
      </c>
    </row>
    <row r="12" spans="1:29" s="332" customFormat="1" ht="16.5" customHeight="1">
      <c r="A12" s="1037"/>
      <c r="B12" s="353"/>
      <c r="C12" s="360">
        <f>C7+1</f>
        <v>14</v>
      </c>
      <c r="D12" s="360"/>
      <c r="E12" s="361" t="s">
        <v>156</v>
      </c>
      <c r="F12" s="362">
        <v>0</v>
      </c>
      <c r="G12" s="363"/>
      <c r="H12" s="363"/>
      <c r="I12" s="363"/>
      <c r="J12" s="363"/>
      <c r="K12" s="363"/>
      <c r="L12" s="363"/>
      <c r="M12" s="363"/>
      <c r="N12" s="363"/>
      <c r="O12" s="363" t="s">
        <v>58</v>
      </c>
      <c r="P12" s="363"/>
      <c r="Q12" s="363">
        <f t="shared" si="6"/>
        <v>0</v>
      </c>
      <c r="R12" s="363">
        <f t="shared" si="7"/>
        <v>0</v>
      </c>
      <c r="S12" s="363">
        <f t="shared" si="8"/>
        <v>0</v>
      </c>
      <c r="T12" s="363"/>
      <c r="U12" s="356">
        <f t="shared" si="3"/>
        <v>0</v>
      </c>
      <c r="V12" s="357"/>
      <c r="W12" s="365">
        <f t="shared" si="9"/>
        <v>0</v>
      </c>
      <c r="X12" s="366">
        <f t="shared" si="10"/>
        <v>0</v>
      </c>
      <c r="Y12" s="366">
        <f t="shared" si="4"/>
        <v>0</v>
      </c>
      <c r="Z12" s="366">
        <f t="shared" si="5"/>
        <v>0</v>
      </c>
      <c r="AA12" s="366">
        <v>0</v>
      </c>
      <c r="AB12" s="366">
        <v>0</v>
      </c>
      <c r="AC12" s="367">
        <f t="shared" si="2"/>
        <v>0</v>
      </c>
    </row>
    <row r="13" spans="1:29" s="332" customFormat="1" ht="16.5" customHeight="1">
      <c r="A13" s="1037"/>
      <c r="B13" s="353"/>
      <c r="C13" s="353"/>
      <c r="D13" s="353"/>
      <c r="E13" s="368" t="s">
        <v>136</v>
      </c>
      <c r="F13" s="366">
        <f>F12</f>
        <v>0</v>
      </c>
      <c r="G13" s="363"/>
      <c r="H13" s="364"/>
      <c r="I13" s="363"/>
      <c r="J13" s="363"/>
      <c r="K13" s="363"/>
      <c r="L13" s="363"/>
      <c r="M13" s="363"/>
      <c r="N13" s="363"/>
      <c r="O13" s="363" t="s">
        <v>58</v>
      </c>
      <c r="P13" s="363"/>
      <c r="Q13" s="363">
        <f t="shared" si="6"/>
        <v>0</v>
      </c>
      <c r="R13" s="363">
        <f t="shared" si="7"/>
        <v>0</v>
      </c>
      <c r="S13" s="363">
        <f t="shared" si="8"/>
        <v>0</v>
      </c>
      <c r="T13" s="363"/>
      <c r="U13" s="356">
        <f t="shared" si="3"/>
        <v>0</v>
      </c>
      <c r="V13" s="357"/>
      <c r="W13" s="365">
        <f t="shared" si="9"/>
        <v>0</v>
      </c>
      <c r="X13" s="366">
        <f t="shared" si="10"/>
        <v>0</v>
      </c>
      <c r="Y13" s="366">
        <f t="shared" si="4"/>
        <v>0</v>
      </c>
      <c r="Z13" s="366">
        <f t="shared" si="5"/>
        <v>0</v>
      </c>
      <c r="AA13" s="366">
        <v>0</v>
      </c>
      <c r="AB13" s="366">
        <v>0</v>
      </c>
      <c r="AC13" s="367">
        <f t="shared" si="2"/>
        <v>0</v>
      </c>
    </row>
    <row r="14" spans="1:29" s="332" customFormat="1" ht="16.5" customHeight="1">
      <c r="A14" s="1037"/>
      <c r="B14" s="353"/>
      <c r="C14" s="353"/>
      <c r="D14" s="353"/>
      <c r="E14" s="368" t="s">
        <v>84</v>
      </c>
      <c r="F14" s="363">
        <f>F13</f>
        <v>0</v>
      </c>
      <c r="G14" s="363"/>
      <c r="H14" s="363"/>
      <c r="I14" s="363"/>
      <c r="J14" s="363"/>
      <c r="K14" s="363"/>
      <c r="L14" s="363"/>
      <c r="M14" s="363"/>
      <c r="N14" s="363"/>
      <c r="O14" s="363" t="s">
        <v>58</v>
      </c>
      <c r="P14" s="363"/>
      <c r="Q14" s="363">
        <f t="shared" si="6"/>
        <v>0</v>
      </c>
      <c r="R14" s="363">
        <f t="shared" si="7"/>
        <v>0</v>
      </c>
      <c r="S14" s="363">
        <f t="shared" si="8"/>
        <v>0</v>
      </c>
      <c r="T14" s="363"/>
      <c r="U14" s="356">
        <f t="shared" si="3"/>
        <v>0</v>
      </c>
      <c r="V14" s="357"/>
      <c r="W14" s="365">
        <f t="shared" si="9"/>
        <v>0</v>
      </c>
      <c r="X14" s="366">
        <f t="shared" si="10"/>
        <v>0</v>
      </c>
      <c r="Y14" s="366">
        <f t="shared" si="4"/>
        <v>0</v>
      </c>
      <c r="Z14" s="366">
        <f t="shared" si="5"/>
        <v>0</v>
      </c>
      <c r="AA14" s="366">
        <v>0</v>
      </c>
      <c r="AB14" s="366">
        <v>0</v>
      </c>
      <c r="AC14" s="367">
        <f t="shared" si="2"/>
        <v>0</v>
      </c>
    </row>
    <row r="15" spans="1:29" s="332" customFormat="1" ht="16.5" customHeight="1">
      <c r="A15" s="1037"/>
      <c r="B15" s="353"/>
      <c r="C15" s="353"/>
      <c r="D15" s="353"/>
      <c r="E15" s="368" t="s">
        <v>67</v>
      </c>
      <c r="F15" s="363">
        <f>F13</f>
        <v>0</v>
      </c>
      <c r="G15" s="363"/>
      <c r="H15" s="363"/>
      <c r="I15" s="363"/>
      <c r="J15" s="363"/>
      <c r="K15" s="363"/>
      <c r="L15" s="363"/>
      <c r="M15" s="363">
        <f>F15*60%</f>
        <v>0</v>
      </c>
      <c r="N15" s="363"/>
      <c r="O15" s="363" t="s">
        <v>58</v>
      </c>
      <c r="P15" s="363"/>
      <c r="Q15" s="363">
        <f t="shared" si="6"/>
        <v>0</v>
      </c>
      <c r="R15" s="363">
        <f t="shared" si="7"/>
        <v>0</v>
      </c>
      <c r="S15" s="363">
        <f t="shared" si="8"/>
        <v>0</v>
      </c>
      <c r="T15" s="363"/>
      <c r="U15" s="356">
        <f t="shared" si="3"/>
        <v>0</v>
      </c>
      <c r="V15" s="357"/>
      <c r="W15" s="365">
        <f t="shared" si="9"/>
        <v>0</v>
      </c>
      <c r="X15" s="366">
        <f t="shared" si="10"/>
        <v>0</v>
      </c>
      <c r="Y15" s="366">
        <f t="shared" si="4"/>
        <v>0</v>
      </c>
      <c r="Z15" s="366">
        <f t="shared" si="5"/>
        <v>0</v>
      </c>
      <c r="AA15" s="366">
        <v>0</v>
      </c>
      <c r="AB15" s="366">
        <v>0</v>
      </c>
      <c r="AC15" s="367">
        <f t="shared" si="2"/>
        <v>0</v>
      </c>
    </row>
    <row r="16" spans="1:29" s="332" customFormat="1" ht="16.5" customHeight="1">
      <c r="A16" s="1037"/>
      <c r="B16" s="353"/>
      <c r="C16" s="353"/>
      <c r="D16" s="353"/>
      <c r="E16" s="368" t="s">
        <v>54</v>
      </c>
      <c r="F16" s="363">
        <f>F13</f>
        <v>0</v>
      </c>
      <c r="G16" s="363"/>
      <c r="H16" s="363"/>
      <c r="I16" s="363"/>
      <c r="J16" s="363"/>
      <c r="K16" s="363"/>
      <c r="L16" s="363"/>
      <c r="M16" s="363"/>
      <c r="N16" s="363"/>
      <c r="O16" s="363" t="s">
        <v>58</v>
      </c>
      <c r="P16" s="363"/>
      <c r="Q16" s="363">
        <f t="shared" si="6"/>
        <v>0</v>
      </c>
      <c r="R16" s="363">
        <f t="shared" si="7"/>
        <v>0</v>
      </c>
      <c r="S16" s="363">
        <f t="shared" si="8"/>
        <v>0</v>
      </c>
      <c r="T16" s="363"/>
      <c r="U16" s="356">
        <f t="shared" si="3"/>
        <v>0</v>
      </c>
      <c r="V16" s="357"/>
      <c r="W16" s="365">
        <f t="shared" si="9"/>
        <v>0</v>
      </c>
      <c r="X16" s="366">
        <f t="shared" si="10"/>
        <v>0</v>
      </c>
      <c r="Y16" s="366">
        <f t="shared" si="4"/>
        <v>0</v>
      </c>
      <c r="Z16" s="366">
        <f t="shared" si="5"/>
        <v>0</v>
      </c>
      <c r="AA16" s="366">
        <v>0</v>
      </c>
      <c r="AB16" s="366">
        <v>0</v>
      </c>
      <c r="AC16" s="367">
        <f t="shared" si="2"/>
        <v>0</v>
      </c>
    </row>
    <row r="17" spans="1:29" s="332" customFormat="1" ht="16.5" customHeight="1">
      <c r="A17" s="1037"/>
      <c r="B17" s="353"/>
      <c r="C17" s="353"/>
      <c r="D17" s="353"/>
      <c r="E17" s="368" t="s">
        <v>55</v>
      </c>
      <c r="F17" s="363">
        <f>F13</f>
        <v>0</v>
      </c>
      <c r="G17" s="363"/>
      <c r="H17" s="363"/>
      <c r="I17" s="363"/>
      <c r="J17" s="363"/>
      <c r="K17" s="363"/>
      <c r="L17" s="363"/>
      <c r="M17" s="363"/>
      <c r="N17" s="363"/>
      <c r="O17" s="363" t="s">
        <v>58</v>
      </c>
      <c r="P17" s="363"/>
      <c r="Q17" s="363">
        <f t="shared" si="6"/>
        <v>0</v>
      </c>
      <c r="R17" s="363">
        <f t="shared" si="7"/>
        <v>0</v>
      </c>
      <c r="S17" s="363">
        <f t="shared" si="8"/>
        <v>0</v>
      </c>
      <c r="T17" s="363"/>
      <c r="U17" s="356">
        <f t="shared" si="3"/>
        <v>0</v>
      </c>
      <c r="V17" s="357"/>
      <c r="W17" s="365">
        <f t="shared" si="9"/>
        <v>0</v>
      </c>
      <c r="X17" s="366">
        <f t="shared" si="10"/>
        <v>0</v>
      </c>
      <c r="Y17" s="366">
        <f t="shared" si="4"/>
        <v>0</v>
      </c>
      <c r="Z17" s="366">
        <f t="shared" si="5"/>
        <v>0</v>
      </c>
      <c r="AA17" s="366">
        <v>0</v>
      </c>
      <c r="AB17" s="366">
        <v>0</v>
      </c>
      <c r="AC17" s="367">
        <f t="shared" si="2"/>
        <v>0</v>
      </c>
    </row>
    <row r="18" spans="1:29" s="332" customFormat="1" ht="16.5" customHeight="1">
      <c r="A18" s="1037"/>
      <c r="B18" s="353"/>
      <c r="C18" s="353"/>
      <c r="D18" s="353"/>
      <c r="E18" s="368" t="s">
        <v>179</v>
      </c>
      <c r="F18" s="363">
        <f>F13</f>
        <v>0</v>
      </c>
      <c r="G18" s="363"/>
      <c r="H18" s="363"/>
      <c r="I18" s="363"/>
      <c r="J18" s="363"/>
      <c r="K18" s="363"/>
      <c r="L18" s="363"/>
      <c r="M18" s="363"/>
      <c r="N18" s="363"/>
      <c r="O18" s="363" t="s">
        <v>58</v>
      </c>
      <c r="P18" s="363"/>
      <c r="Q18" s="363">
        <f t="shared" si="6"/>
        <v>0</v>
      </c>
      <c r="R18" s="363">
        <f>Q18*20*2</f>
        <v>0</v>
      </c>
      <c r="S18" s="363">
        <f t="shared" si="8"/>
        <v>0</v>
      </c>
      <c r="T18" s="363"/>
      <c r="U18" s="356">
        <f t="shared" si="3"/>
        <v>0</v>
      </c>
      <c r="V18" s="357"/>
      <c r="W18" s="365">
        <f t="shared" si="9"/>
        <v>0</v>
      </c>
      <c r="X18" s="366">
        <f t="shared" si="10"/>
        <v>0</v>
      </c>
      <c r="Y18" s="366">
        <f t="shared" si="4"/>
        <v>0</v>
      </c>
      <c r="Z18" s="366">
        <f t="shared" si="5"/>
        <v>0</v>
      </c>
      <c r="AA18" s="366">
        <v>0</v>
      </c>
      <c r="AB18" s="366">
        <v>0</v>
      </c>
      <c r="AC18" s="367">
        <f t="shared" si="2"/>
        <v>0</v>
      </c>
    </row>
    <row r="19" spans="1:29" s="352" customFormat="1" ht="16.5" customHeight="1">
      <c r="A19" s="1037">
        <v>2</v>
      </c>
      <c r="B19" s="353" t="s">
        <v>325</v>
      </c>
      <c r="C19" s="353">
        <v>10</v>
      </c>
      <c r="D19" s="369">
        <v>1</v>
      </c>
      <c r="E19" s="355" t="s">
        <v>164</v>
      </c>
      <c r="F19" s="356">
        <f>SUM(F20:F31)</f>
        <v>33888000</v>
      </c>
      <c r="G19" s="356">
        <f t="shared" ref="G19:U19" si="11">SUM(G20:G31)</f>
        <v>0</v>
      </c>
      <c r="H19" s="356">
        <f t="shared" si="11"/>
        <v>0</v>
      </c>
      <c r="I19" s="356">
        <f t="shared" si="11"/>
        <v>0</v>
      </c>
      <c r="J19" s="356">
        <f t="shared" si="11"/>
        <v>0</v>
      </c>
      <c r="K19" s="356">
        <f t="shared" si="11"/>
        <v>0</v>
      </c>
      <c r="L19" s="356">
        <f t="shared" si="11"/>
        <v>0</v>
      </c>
      <c r="M19" s="356">
        <f>SUM(M20:M31)</f>
        <v>3388800</v>
      </c>
      <c r="N19" s="356">
        <f>SUM(N20:N31)</f>
        <v>0</v>
      </c>
      <c r="O19" s="356">
        <f t="shared" si="11"/>
        <v>720000</v>
      </c>
      <c r="P19" s="356">
        <f t="shared" si="11"/>
        <v>0</v>
      </c>
      <c r="Q19" s="356"/>
      <c r="R19" s="356">
        <f>SUM(R20:R31)</f>
        <v>4864800</v>
      </c>
      <c r="S19" s="356">
        <f t="shared" si="11"/>
        <v>0</v>
      </c>
      <c r="T19" s="356">
        <f t="shared" si="11"/>
        <v>0</v>
      </c>
      <c r="U19" s="356">
        <f t="shared" si="11"/>
        <v>42861600</v>
      </c>
      <c r="V19" s="370"/>
      <c r="W19" s="358">
        <f t="shared" ref="W19:AC19" si="12">SUM(W20:W31)</f>
        <v>3571840</v>
      </c>
      <c r="X19" s="356">
        <f t="shared" si="12"/>
        <v>1928750</v>
      </c>
      <c r="Y19" s="356">
        <f t="shared" si="12"/>
        <v>1429520</v>
      </c>
      <c r="Z19" s="356">
        <f>SUM(Z20:Z31)</f>
        <v>146580</v>
      </c>
      <c r="AA19" s="356">
        <f t="shared" si="12"/>
        <v>450060</v>
      </c>
      <c r="AB19" s="356">
        <f t="shared" si="12"/>
        <v>339850</v>
      </c>
      <c r="AC19" s="359">
        <f t="shared" si="12"/>
        <v>7866600</v>
      </c>
    </row>
    <row r="20" spans="1:29" s="352" customFormat="1" ht="15" customHeight="1">
      <c r="A20" s="1037"/>
      <c r="B20" s="353" t="s">
        <v>59</v>
      </c>
      <c r="C20" s="353">
        <v>10</v>
      </c>
      <c r="D20" s="369"/>
      <c r="E20" s="368" t="s">
        <v>94</v>
      </c>
      <c r="F20" s="363">
        <v>2824000</v>
      </c>
      <c r="G20" s="363"/>
      <c r="H20" s="364"/>
      <c r="I20" s="363"/>
      <c r="J20" s="363"/>
      <c r="K20" s="363"/>
      <c r="L20" s="363"/>
      <c r="M20" s="363" t="s">
        <v>58</v>
      </c>
      <c r="N20" s="363"/>
      <c r="O20" s="363">
        <v>60000</v>
      </c>
      <c r="P20" s="363"/>
      <c r="Q20" s="363"/>
      <c r="R20" s="363"/>
      <c r="S20" s="363"/>
      <c r="T20" s="363"/>
      <c r="U20" s="356">
        <f t="shared" ref="U20:U57" si="13">SUM(F20,M20,O20,R20,T20,S20)</f>
        <v>2884000</v>
      </c>
      <c r="V20" s="370"/>
      <c r="W20" s="365">
        <f>ROUNDUP(U20*1/12,-1)</f>
        <v>240340</v>
      </c>
      <c r="X20" s="366">
        <f>ROUND(U20*4.5%,-1)</f>
        <v>129780</v>
      </c>
      <c r="Y20" s="366">
        <f>ROUNDUP((U20-L20)*6.67%*1/2,-1)</f>
        <v>96190</v>
      </c>
      <c r="Z20" s="366">
        <f>ROUNDUP(Y20*10.25%,-1)</f>
        <v>9860</v>
      </c>
      <c r="AA20" s="366">
        <f>ROUND(U20*1.05%,-1)</f>
        <v>30280</v>
      </c>
      <c r="AB20" s="366">
        <f>ROUND(U20*0.793%,-1)</f>
        <v>22870</v>
      </c>
      <c r="AC20" s="367">
        <f t="shared" ref="AC20:AC31" si="14">SUM(W20:AB20)</f>
        <v>529320</v>
      </c>
    </row>
    <row r="21" spans="1:29" s="352" customFormat="1" ht="15" customHeight="1">
      <c r="A21" s="1037"/>
      <c r="B21" s="353"/>
      <c r="C21" s="353"/>
      <c r="D21" s="369"/>
      <c r="E21" s="368" t="s">
        <v>150</v>
      </c>
      <c r="F21" s="363">
        <f>F20</f>
        <v>2824000</v>
      </c>
      <c r="G21" s="363"/>
      <c r="H21" s="363"/>
      <c r="I21" s="363"/>
      <c r="J21" s="363"/>
      <c r="K21" s="363"/>
      <c r="L21" s="363"/>
      <c r="M21" s="363">
        <f>F21*60%</f>
        <v>1694400</v>
      </c>
      <c r="N21" s="363"/>
      <c r="O21" s="363">
        <f>O20</f>
        <v>60000</v>
      </c>
      <c r="P21" s="363"/>
      <c r="Q21" s="363">
        <f t="shared" ref="Q21:Q57" si="15">ROUND((F20+T20)*1/209*1.5,-1)</f>
        <v>20270</v>
      </c>
      <c r="R21" s="363">
        <f>Q21*20</f>
        <v>405400</v>
      </c>
      <c r="S21" s="363">
        <v>0</v>
      </c>
      <c r="T21" s="363"/>
      <c r="U21" s="356">
        <f t="shared" si="13"/>
        <v>4983800</v>
      </c>
      <c r="V21" s="370"/>
      <c r="W21" s="365">
        <f>ROUNDUP((T21+U21)*1/12,-1)</f>
        <v>415320</v>
      </c>
      <c r="X21" s="366">
        <f>ROUND(U21*4.5%,-1)</f>
        <v>224270</v>
      </c>
      <c r="Y21" s="366">
        <f t="shared" ref="Y21:Y31" si="16">ROUNDUP((U21-L21)*6.67%*1/2,-1)</f>
        <v>166210</v>
      </c>
      <c r="Z21" s="366">
        <f t="shared" ref="Z21:Z31" si="17">ROUNDUP(Y21*10.25%,-1)</f>
        <v>17040</v>
      </c>
      <c r="AA21" s="366">
        <f t="shared" ref="AA21:AA31" si="18">ROUND(U21*1.05%,-1)</f>
        <v>52330</v>
      </c>
      <c r="AB21" s="366">
        <f t="shared" ref="AB21:AB31" si="19">ROUND(U21*0.793%,-1)</f>
        <v>39520</v>
      </c>
      <c r="AC21" s="367">
        <f t="shared" si="14"/>
        <v>914690</v>
      </c>
    </row>
    <row r="22" spans="1:29" s="352" customFormat="1" ht="15" customHeight="1">
      <c r="A22" s="1037"/>
      <c r="B22" s="353"/>
      <c r="C22" s="353"/>
      <c r="D22" s="369"/>
      <c r="E22" s="368" t="s">
        <v>82</v>
      </c>
      <c r="F22" s="363">
        <f>F20</f>
        <v>2824000</v>
      </c>
      <c r="G22" s="363"/>
      <c r="H22" s="363"/>
      <c r="I22" s="363"/>
      <c r="J22" s="363"/>
      <c r="K22" s="363"/>
      <c r="L22" s="363"/>
      <c r="M22" s="363"/>
      <c r="N22" s="363"/>
      <c r="O22" s="363">
        <f t="shared" ref="O22:O31" si="20">O21</f>
        <v>60000</v>
      </c>
      <c r="P22" s="363"/>
      <c r="Q22" s="363">
        <f t="shared" si="15"/>
        <v>20270</v>
      </c>
      <c r="R22" s="363">
        <f t="shared" ref="R22:R30" si="21">Q22*20</f>
        <v>405400</v>
      </c>
      <c r="S22" s="363">
        <v>0</v>
      </c>
      <c r="T22" s="363"/>
      <c r="U22" s="356">
        <f t="shared" si="13"/>
        <v>3289400</v>
      </c>
      <c r="V22" s="370"/>
      <c r="W22" s="365">
        <f t="shared" ref="W22:W31" si="22">ROUNDUP(U22*1/12,-1)</f>
        <v>274120</v>
      </c>
      <c r="X22" s="366">
        <f t="shared" ref="X22:X31" si="23">ROUND(U22*4.5%,-1)</f>
        <v>148020</v>
      </c>
      <c r="Y22" s="366">
        <f t="shared" si="16"/>
        <v>109710</v>
      </c>
      <c r="Z22" s="366">
        <f t="shared" si="17"/>
        <v>11250</v>
      </c>
      <c r="AA22" s="366">
        <f t="shared" si="18"/>
        <v>34540</v>
      </c>
      <c r="AB22" s="366">
        <f t="shared" si="19"/>
        <v>26080</v>
      </c>
      <c r="AC22" s="367">
        <f t="shared" si="14"/>
        <v>603720</v>
      </c>
    </row>
    <row r="23" spans="1:29" s="352" customFormat="1" ht="15" customHeight="1">
      <c r="A23" s="1037"/>
      <c r="B23" s="353"/>
      <c r="C23" s="353"/>
      <c r="D23" s="369"/>
      <c r="E23" s="368" t="s">
        <v>159</v>
      </c>
      <c r="F23" s="363">
        <f>F20</f>
        <v>2824000</v>
      </c>
      <c r="G23" s="363"/>
      <c r="H23" s="363"/>
      <c r="I23" s="363"/>
      <c r="J23" s="363"/>
      <c r="K23" s="363"/>
      <c r="L23" s="363"/>
      <c r="M23" s="363"/>
      <c r="N23" s="363"/>
      <c r="O23" s="363">
        <f t="shared" si="20"/>
        <v>60000</v>
      </c>
      <c r="P23" s="363"/>
      <c r="Q23" s="363">
        <f t="shared" si="15"/>
        <v>20270</v>
      </c>
      <c r="R23" s="363">
        <f t="shared" si="21"/>
        <v>405400</v>
      </c>
      <c r="S23" s="363">
        <v>0</v>
      </c>
      <c r="T23" s="363"/>
      <c r="U23" s="356">
        <f t="shared" si="13"/>
        <v>3289400</v>
      </c>
      <c r="V23" s="370"/>
      <c r="W23" s="365">
        <f t="shared" si="22"/>
        <v>274120</v>
      </c>
      <c r="X23" s="366">
        <f t="shared" si="23"/>
        <v>148020</v>
      </c>
      <c r="Y23" s="366">
        <f t="shared" si="16"/>
        <v>109710</v>
      </c>
      <c r="Z23" s="366">
        <f t="shared" si="17"/>
        <v>11250</v>
      </c>
      <c r="AA23" s="366">
        <f t="shared" si="18"/>
        <v>34540</v>
      </c>
      <c r="AB23" s="366">
        <f t="shared" si="19"/>
        <v>26080</v>
      </c>
      <c r="AC23" s="367">
        <f t="shared" si="14"/>
        <v>603720</v>
      </c>
    </row>
    <row r="24" spans="1:29" s="352" customFormat="1" ht="15" customHeight="1">
      <c r="A24" s="1037"/>
      <c r="B24" s="353"/>
      <c r="C24" s="353"/>
      <c r="D24" s="369"/>
      <c r="E24" s="368" t="s">
        <v>61</v>
      </c>
      <c r="F24" s="363">
        <f>F23</f>
        <v>2824000</v>
      </c>
      <c r="G24" s="363"/>
      <c r="H24" s="363"/>
      <c r="I24" s="363"/>
      <c r="J24" s="363"/>
      <c r="K24" s="363"/>
      <c r="L24" s="363"/>
      <c r="M24" s="363"/>
      <c r="N24" s="363"/>
      <c r="O24" s="363">
        <f t="shared" si="20"/>
        <v>60000</v>
      </c>
      <c r="P24" s="363"/>
      <c r="Q24" s="363">
        <f t="shared" si="15"/>
        <v>20270</v>
      </c>
      <c r="R24" s="363">
        <f t="shared" si="21"/>
        <v>405400</v>
      </c>
      <c r="S24" s="363">
        <v>0</v>
      </c>
      <c r="T24" s="363"/>
      <c r="U24" s="356">
        <f t="shared" si="13"/>
        <v>3289400</v>
      </c>
      <c r="V24" s="370"/>
      <c r="W24" s="365">
        <f t="shared" si="22"/>
        <v>274120</v>
      </c>
      <c r="X24" s="366">
        <f t="shared" si="23"/>
        <v>148020</v>
      </c>
      <c r="Y24" s="366">
        <f t="shared" si="16"/>
        <v>109710</v>
      </c>
      <c r="Z24" s="366">
        <f t="shared" si="17"/>
        <v>11250</v>
      </c>
      <c r="AA24" s="366">
        <f t="shared" si="18"/>
        <v>34540</v>
      </c>
      <c r="AB24" s="366">
        <f t="shared" si="19"/>
        <v>26080</v>
      </c>
      <c r="AC24" s="367">
        <f t="shared" si="14"/>
        <v>603720</v>
      </c>
    </row>
    <row r="25" spans="1:29" s="352" customFormat="1" ht="15" customHeight="1">
      <c r="A25" s="1037"/>
      <c r="B25" s="353"/>
      <c r="C25" s="353"/>
      <c r="D25" s="369"/>
      <c r="E25" s="368" t="s">
        <v>156</v>
      </c>
      <c r="F25" s="363">
        <f>F24</f>
        <v>2824000</v>
      </c>
      <c r="G25" s="363"/>
      <c r="H25" s="363"/>
      <c r="I25" s="363"/>
      <c r="J25" s="363"/>
      <c r="K25" s="363"/>
      <c r="L25" s="363"/>
      <c r="M25" s="363"/>
      <c r="N25" s="363"/>
      <c r="O25" s="363">
        <f t="shared" si="20"/>
        <v>60000</v>
      </c>
      <c r="P25" s="363"/>
      <c r="Q25" s="363">
        <f t="shared" si="15"/>
        <v>20270</v>
      </c>
      <c r="R25" s="363">
        <f t="shared" si="21"/>
        <v>405400</v>
      </c>
      <c r="S25" s="363">
        <v>0</v>
      </c>
      <c r="T25" s="363"/>
      <c r="U25" s="356">
        <f t="shared" si="13"/>
        <v>3289400</v>
      </c>
      <c r="V25" s="370"/>
      <c r="W25" s="365">
        <f t="shared" si="22"/>
        <v>274120</v>
      </c>
      <c r="X25" s="366">
        <f t="shared" si="23"/>
        <v>148020</v>
      </c>
      <c r="Y25" s="366">
        <f t="shared" si="16"/>
        <v>109710</v>
      </c>
      <c r="Z25" s="366">
        <f t="shared" si="17"/>
        <v>11250</v>
      </c>
      <c r="AA25" s="366">
        <f t="shared" si="18"/>
        <v>34540</v>
      </c>
      <c r="AB25" s="366">
        <f t="shared" si="19"/>
        <v>26080</v>
      </c>
      <c r="AC25" s="367">
        <f t="shared" si="14"/>
        <v>603720</v>
      </c>
    </row>
    <row r="26" spans="1:29" s="352" customFormat="1" ht="15" customHeight="1">
      <c r="A26" s="1037"/>
      <c r="B26" s="353"/>
      <c r="C26" s="353"/>
      <c r="D26" s="369"/>
      <c r="E26" s="368" t="s">
        <v>136</v>
      </c>
      <c r="F26" s="366">
        <f>F25</f>
        <v>2824000</v>
      </c>
      <c r="G26" s="363"/>
      <c r="H26" s="364"/>
      <c r="I26" s="363"/>
      <c r="J26" s="363"/>
      <c r="K26" s="363"/>
      <c r="L26" s="363"/>
      <c r="M26" s="363"/>
      <c r="N26" s="363"/>
      <c r="O26" s="363">
        <f t="shared" si="20"/>
        <v>60000</v>
      </c>
      <c r="P26" s="363"/>
      <c r="Q26" s="363">
        <f t="shared" si="15"/>
        <v>20270</v>
      </c>
      <c r="R26" s="363">
        <f t="shared" si="21"/>
        <v>405400</v>
      </c>
      <c r="S26" s="363">
        <v>0</v>
      </c>
      <c r="T26" s="363"/>
      <c r="U26" s="356">
        <f t="shared" si="13"/>
        <v>3289400</v>
      </c>
      <c r="V26" s="370"/>
      <c r="W26" s="365">
        <f t="shared" si="22"/>
        <v>274120</v>
      </c>
      <c r="X26" s="366">
        <f t="shared" si="23"/>
        <v>148020</v>
      </c>
      <c r="Y26" s="366">
        <f t="shared" si="16"/>
        <v>109710</v>
      </c>
      <c r="Z26" s="366">
        <f t="shared" si="17"/>
        <v>11250</v>
      </c>
      <c r="AA26" s="366">
        <f t="shared" si="18"/>
        <v>34540</v>
      </c>
      <c r="AB26" s="366">
        <f t="shared" si="19"/>
        <v>26080</v>
      </c>
      <c r="AC26" s="367">
        <f t="shared" si="14"/>
        <v>603720</v>
      </c>
    </row>
    <row r="27" spans="1:29" s="352" customFormat="1" ht="15" customHeight="1">
      <c r="A27" s="1037"/>
      <c r="B27" s="353"/>
      <c r="C27" s="353"/>
      <c r="D27" s="369"/>
      <c r="E27" s="368" t="s">
        <v>84</v>
      </c>
      <c r="F27" s="366">
        <f>F26</f>
        <v>2824000</v>
      </c>
      <c r="G27" s="363"/>
      <c r="H27" s="363"/>
      <c r="I27" s="363"/>
      <c r="J27" s="363"/>
      <c r="K27" s="363"/>
      <c r="L27" s="363"/>
      <c r="M27" s="363"/>
      <c r="N27" s="363"/>
      <c r="O27" s="363">
        <f t="shared" si="20"/>
        <v>60000</v>
      </c>
      <c r="P27" s="363"/>
      <c r="Q27" s="363">
        <f t="shared" si="15"/>
        <v>20270</v>
      </c>
      <c r="R27" s="363">
        <f t="shared" si="21"/>
        <v>405400</v>
      </c>
      <c r="S27" s="363">
        <v>0</v>
      </c>
      <c r="T27" s="363"/>
      <c r="U27" s="356">
        <f t="shared" si="13"/>
        <v>3289400</v>
      </c>
      <c r="V27" s="370"/>
      <c r="W27" s="365">
        <f t="shared" si="22"/>
        <v>274120</v>
      </c>
      <c r="X27" s="366">
        <f t="shared" si="23"/>
        <v>148020</v>
      </c>
      <c r="Y27" s="366">
        <f t="shared" si="16"/>
        <v>109710</v>
      </c>
      <c r="Z27" s="366">
        <f t="shared" si="17"/>
        <v>11250</v>
      </c>
      <c r="AA27" s="366">
        <f t="shared" si="18"/>
        <v>34540</v>
      </c>
      <c r="AB27" s="366">
        <f t="shared" si="19"/>
        <v>26080</v>
      </c>
      <c r="AC27" s="367">
        <f t="shared" si="14"/>
        <v>603720</v>
      </c>
    </row>
    <row r="28" spans="1:29" s="352" customFormat="1" ht="15" customHeight="1">
      <c r="A28" s="1037"/>
      <c r="B28" s="353"/>
      <c r="C28" s="353"/>
      <c r="D28" s="369"/>
      <c r="E28" s="368" t="s">
        <v>67</v>
      </c>
      <c r="F28" s="363">
        <f>F27</f>
        <v>2824000</v>
      </c>
      <c r="G28" s="363"/>
      <c r="H28" s="363"/>
      <c r="I28" s="363"/>
      <c r="J28" s="363"/>
      <c r="K28" s="363"/>
      <c r="L28" s="363"/>
      <c r="M28" s="363">
        <f>F28*60%</f>
        <v>1694400</v>
      </c>
      <c r="N28" s="363"/>
      <c r="O28" s="363">
        <f t="shared" si="20"/>
        <v>60000</v>
      </c>
      <c r="P28" s="363"/>
      <c r="Q28" s="363">
        <f t="shared" si="15"/>
        <v>20270</v>
      </c>
      <c r="R28" s="363">
        <f t="shared" si="21"/>
        <v>405400</v>
      </c>
      <c r="S28" s="363">
        <v>0</v>
      </c>
      <c r="T28" s="363"/>
      <c r="U28" s="356">
        <f t="shared" si="13"/>
        <v>4983800</v>
      </c>
      <c r="V28" s="370"/>
      <c r="W28" s="365">
        <f t="shared" si="22"/>
        <v>415320</v>
      </c>
      <c r="X28" s="366">
        <f t="shared" si="23"/>
        <v>224270</v>
      </c>
      <c r="Y28" s="366">
        <f t="shared" si="16"/>
        <v>166210</v>
      </c>
      <c r="Z28" s="366">
        <f t="shared" si="17"/>
        <v>17040</v>
      </c>
      <c r="AA28" s="366">
        <f t="shared" si="18"/>
        <v>52330</v>
      </c>
      <c r="AB28" s="366">
        <f t="shared" si="19"/>
        <v>39520</v>
      </c>
      <c r="AC28" s="367">
        <f t="shared" si="14"/>
        <v>914690</v>
      </c>
    </row>
    <row r="29" spans="1:29" s="352" customFormat="1" ht="15" customHeight="1">
      <c r="A29" s="1037"/>
      <c r="B29" s="353"/>
      <c r="C29" s="353"/>
      <c r="D29" s="369"/>
      <c r="E29" s="368" t="s">
        <v>54</v>
      </c>
      <c r="F29" s="363">
        <f>F27</f>
        <v>2824000</v>
      </c>
      <c r="G29" s="363"/>
      <c r="H29" s="363"/>
      <c r="I29" s="363"/>
      <c r="J29" s="363"/>
      <c r="K29" s="363"/>
      <c r="L29" s="363"/>
      <c r="M29" s="363"/>
      <c r="N29" s="363"/>
      <c r="O29" s="363">
        <f t="shared" si="20"/>
        <v>60000</v>
      </c>
      <c r="P29" s="363"/>
      <c r="Q29" s="363">
        <f t="shared" si="15"/>
        <v>20270</v>
      </c>
      <c r="R29" s="363">
        <f t="shared" si="21"/>
        <v>405400</v>
      </c>
      <c r="S29" s="363">
        <v>0</v>
      </c>
      <c r="T29" s="363"/>
      <c r="U29" s="356">
        <f t="shared" si="13"/>
        <v>3289400</v>
      </c>
      <c r="V29" s="370"/>
      <c r="W29" s="365">
        <f t="shared" si="22"/>
        <v>274120</v>
      </c>
      <c r="X29" s="366">
        <f t="shared" si="23"/>
        <v>148020</v>
      </c>
      <c r="Y29" s="366">
        <f t="shared" si="16"/>
        <v>109710</v>
      </c>
      <c r="Z29" s="366">
        <f t="shared" si="17"/>
        <v>11250</v>
      </c>
      <c r="AA29" s="366">
        <f t="shared" si="18"/>
        <v>34540</v>
      </c>
      <c r="AB29" s="366">
        <f t="shared" si="19"/>
        <v>26080</v>
      </c>
      <c r="AC29" s="367">
        <f t="shared" si="14"/>
        <v>603720</v>
      </c>
    </row>
    <row r="30" spans="1:29" s="352" customFormat="1" ht="15" customHeight="1">
      <c r="A30" s="1037"/>
      <c r="B30" s="353"/>
      <c r="C30" s="353"/>
      <c r="D30" s="369"/>
      <c r="E30" s="368" t="s">
        <v>55</v>
      </c>
      <c r="F30" s="363">
        <f>F29</f>
        <v>2824000</v>
      </c>
      <c r="G30" s="363"/>
      <c r="H30" s="363"/>
      <c r="I30" s="363"/>
      <c r="J30" s="363"/>
      <c r="K30" s="363"/>
      <c r="L30" s="363"/>
      <c r="M30" s="363"/>
      <c r="N30" s="363"/>
      <c r="O30" s="363">
        <f t="shared" si="20"/>
        <v>60000</v>
      </c>
      <c r="P30" s="363"/>
      <c r="Q30" s="363">
        <f t="shared" si="15"/>
        <v>20270</v>
      </c>
      <c r="R30" s="363">
        <f t="shared" si="21"/>
        <v>405400</v>
      </c>
      <c r="S30" s="363">
        <v>0</v>
      </c>
      <c r="T30" s="363"/>
      <c r="U30" s="356">
        <f t="shared" si="13"/>
        <v>3289400</v>
      </c>
      <c r="V30" s="370"/>
      <c r="W30" s="365">
        <f t="shared" si="22"/>
        <v>274120</v>
      </c>
      <c r="X30" s="366">
        <f t="shared" si="23"/>
        <v>148020</v>
      </c>
      <c r="Y30" s="366">
        <f t="shared" si="16"/>
        <v>109710</v>
      </c>
      <c r="Z30" s="366">
        <f t="shared" si="17"/>
        <v>11250</v>
      </c>
      <c r="AA30" s="366">
        <f t="shared" si="18"/>
        <v>34540</v>
      </c>
      <c r="AB30" s="366">
        <f t="shared" si="19"/>
        <v>26080</v>
      </c>
      <c r="AC30" s="367">
        <f t="shared" si="14"/>
        <v>603720</v>
      </c>
    </row>
    <row r="31" spans="1:29" s="352" customFormat="1" ht="15" customHeight="1">
      <c r="A31" s="1037"/>
      <c r="B31" s="353"/>
      <c r="C31" s="353"/>
      <c r="D31" s="369"/>
      <c r="E31" s="368" t="s">
        <v>179</v>
      </c>
      <c r="F31" s="363">
        <f>F30</f>
        <v>2824000</v>
      </c>
      <c r="G31" s="363"/>
      <c r="H31" s="363"/>
      <c r="I31" s="363"/>
      <c r="J31" s="363"/>
      <c r="K31" s="363"/>
      <c r="L31" s="363"/>
      <c r="M31" s="363"/>
      <c r="N31" s="363"/>
      <c r="O31" s="363">
        <f t="shared" si="20"/>
        <v>60000</v>
      </c>
      <c r="P31" s="363"/>
      <c r="Q31" s="363">
        <f t="shared" si="15"/>
        <v>20270</v>
      </c>
      <c r="R31" s="363">
        <f>Q31*20*2</f>
        <v>810800</v>
      </c>
      <c r="S31" s="363">
        <v>0</v>
      </c>
      <c r="T31" s="363"/>
      <c r="U31" s="356">
        <f t="shared" si="13"/>
        <v>3694800</v>
      </c>
      <c r="V31" s="370"/>
      <c r="W31" s="365">
        <f t="shared" si="22"/>
        <v>307900</v>
      </c>
      <c r="X31" s="366">
        <f t="shared" si="23"/>
        <v>166270</v>
      </c>
      <c r="Y31" s="366">
        <f t="shared" si="16"/>
        <v>123230</v>
      </c>
      <c r="Z31" s="366">
        <f t="shared" si="17"/>
        <v>12640</v>
      </c>
      <c r="AA31" s="366">
        <f t="shared" si="18"/>
        <v>38800</v>
      </c>
      <c r="AB31" s="366">
        <f t="shared" si="19"/>
        <v>29300</v>
      </c>
      <c r="AC31" s="367">
        <f t="shared" si="14"/>
        <v>678140</v>
      </c>
    </row>
    <row r="32" spans="1:29" s="352" customFormat="1" ht="12.75" customHeight="1">
      <c r="A32" s="1037">
        <v>3</v>
      </c>
      <c r="B32" s="353" t="s">
        <v>325</v>
      </c>
      <c r="C32" s="353">
        <v>10</v>
      </c>
      <c r="D32" s="369">
        <v>1</v>
      </c>
      <c r="E32" s="355" t="s">
        <v>164</v>
      </c>
      <c r="F32" s="356">
        <f t="shared" ref="F32:U32" si="24">SUM(F33:F44)</f>
        <v>33888000</v>
      </c>
      <c r="G32" s="356">
        <f t="shared" si="24"/>
        <v>0</v>
      </c>
      <c r="H32" s="356">
        <f t="shared" si="24"/>
        <v>0</v>
      </c>
      <c r="I32" s="356">
        <f t="shared" ref="I32:N32" si="25">SUM(I33:I44)</f>
        <v>0</v>
      </c>
      <c r="J32" s="356">
        <f t="shared" si="25"/>
        <v>0</v>
      </c>
      <c r="K32" s="356">
        <f t="shared" si="25"/>
        <v>0</v>
      </c>
      <c r="L32" s="356">
        <f t="shared" si="25"/>
        <v>0</v>
      </c>
      <c r="M32" s="356">
        <f t="shared" si="25"/>
        <v>3388800</v>
      </c>
      <c r="N32" s="356">
        <f t="shared" si="25"/>
        <v>0</v>
      </c>
      <c r="O32" s="356">
        <f t="shared" si="24"/>
        <v>720000</v>
      </c>
      <c r="P32" s="356">
        <f t="shared" si="24"/>
        <v>0</v>
      </c>
      <c r="Q32" s="356"/>
      <c r="R32" s="356">
        <f>SUM(R33:R44)</f>
        <v>4864800</v>
      </c>
      <c r="S32" s="356">
        <f t="shared" si="24"/>
        <v>0</v>
      </c>
      <c r="T32" s="356">
        <f t="shared" si="24"/>
        <v>0</v>
      </c>
      <c r="U32" s="356">
        <f t="shared" si="24"/>
        <v>42861600</v>
      </c>
      <c r="V32" s="370"/>
      <c r="W32" s="358">
        <f t="shared" ref="W32:AB32" si="26">SUM(W33:W44)</f>
        <v>3571840</v>
      </c>
      <c r="X32" s="356">
        <f t="shared" si="26"/>
        <v>1928750</v>
      </c>
      <c r="Y32" s="356">
        <f>SUM(Y33:Y44)</f>
        <v>1429520</v>
      </c>
      <c r="Z32" s="356">
        <f t="shared" si="26"/>
        <v>146580</v>
      </c>
      <c r="AA32" s="356">
        <f t="shared" si="26"/>
        <v>450060</v>
      </c>
      <c r="AB32" s="356">
        <f t="shared" si="26"/>
        <v>339850</v>
      </c>
      <c r="AC32" s="359">
        <f>SUM(AC33:AC44)</f>
        <v>7866600</v>
      </c>
    </row>
    <row r="33" spans="1:29" s="332" customFormat="1" ht="12.75" customHeight="1">
      <c r="A33" s="1037"/>
      <c r="B33" s="353" t="s">
        <v>167</v>
      </c>
      <c r="C33" s="353">
        <v>10</v>
      </c>
      <c r="D33" s="353"/>
      <c r="E33" s="368" t="s">
        <v>94</v>
      </c>
      <c r="F33" s="363">
        <v>2824000</v>
      </c>
      <c r="G33" s="363"/>
      <c r="H33" s="364"/>
      <c r="I33" s="363"/>
      <c r="J33" s="363"/>
      <c r="K33" s="363"/>
      <c r="L33" s="363"/>
      <c r="M33" s="363" t="s">
        <v>58</v>
      </c>
      <c r="N33" s="363"/>
      <c r="O33" s="363">
        <v>60000</v>
      </c>
      <c r="P33" s="363"/>
      <c r="Q33" s="363"/>
      <c r="R33" s="363"/>
      <c r="S33" s="363"/>
      <c r="T33" s="363"/>
      <c r="U33" s="356">
        <f>SUM(F33,M33,O33,R33,T33,S33)</f>
        <v>2884000</v>
      </c>
      <c r="V33" s="357"/>
      <c r="W33" s="365">
        <f>ROUNDUP(U33*1/12,-1)</f>
        <v>240340</v>
      </c>
      <c r="X33" s="366">
        <f>ROUND(U33*4.5%,-1)</f>
        <v>129780</v>
      </c>
      <c r="Y33" s="366">
        <f>ROUNDUP((U33-L33)*6.67%*1/2,-1)</f>
        <v>96190</v>
      </c>
      <c r="Z33" s="366">
        <f>ROUNDUP(Y33*10.25%,-1)</f>
        <v>9860</v>
      </c>
      <c r="AA33" s="366">
        <f>ROUND(U33*1.05%,-1)</f>
        <v>30280</v>
      </c>
      <c r="AB33" s="366">
        <f>ROUND(U33*0.793%,-1)</f>
        <v>22870</v>
      </c>
      <c r="AC33" s="367">
        <f t="shared" ref="AC33:AC44" si="27">SUM(W33:AB33)</f>
        <v>529320</v>
      </c>
    </row>
    <row r="34" spans="1:29" s="332" customFormat="1" ht="12.75" customHeight="1">
      <c r="A34" s="1037"/>
      <c r="B34" s="353"/>
      <c r="C34" s="353"/>
      <c r="D34" s="353"/>
      <c r="E34" s="368" t="s">
        <v>150</v>
      </c>
      <c r="F34" s="363">
        <f>F33</f>
        <v>2824000</v>
      </c>
      <c r="G34" s="363"/>
      <c r="H34" s="363"/>
      <c r="I34" s="363"/>
      <c r="J34" s="363"/>
      <c r="K34" s="363"/>
      <c r="L34" s="363"/>
      <c r="M34" s="363">
        <f>F34*60%</f>
        <v>1694400</v>
      </c>
      <c r="N34" s="363"/>
      <c r="O34" s="363">
        <f>O33</f>
        <v>60000</v>
      </c>
      <c r="P34" s="363"/>
      <c r="Q34" s="363">
        <f>ROUND((F33+T33)*1/209*1.5,-1)</f>
        <v>20270</v>
      </c>
      <c r="R34" s="363">
        <f>Q34*20</f>
        <v>405400</v>
      </c>
      <c r="S34" s="363">
        <v>0</v>
      </c>
      <c r="T34" s="363"/>
      <c r="U34" s="356">
        <f t="shared" si="13"/>
        <v>4983800</v>
      </c>
      <c r="V34" s="357"/>
      <c r="W34" s="365">
        <f>ROUNDUP((T34+U34)*1/12,-1)</f>
        <v>415320</v>
      </c>
      <c r="X34" s="366">
        <f t="shared" ref="X34:X44" si="28">ROUND(U34*4.5%,-1)</f>
        <v>224270</v>
      </c>
      <c r="Y34" s="366">
        <f t="shared" ref="Y34:Y44" si="29">ROUNDUP((U34-L34)*6.67%*1/2,-1)</f>
        <v>166210</v>
      </c>
      <c r="Z34" s="366">
        <f t="shared" ref="Z34:Z44" si="30">ROUNDUP(Y34*10.25%,-1)</f>
        <v>17040</v>
      </c>
      <c r="AA34" s="366">
        <f t="shared" ref="AA34:AA44" si="31">ROUND(U34*1.05%,-1)</f>
        <v>52330</v>
      </c>
      <c r="AB34" s="366">
        <f t="shared" ref="AB34:AB44" si="32">ROUND(U34*0.793%,-1)</f>
        <v>39520</v>
      </c>
      <c r="AC34" s="367">
        <f t="shared" si="27"/>
        <v>914690</v>
      </c>
    </row>
    <row r="35" spans="1:29" s="332" customFormat="1" ht="12.75" customHeight="1">
      <c r="A35" s="1037"/>
      <c r="B35" s="353"/>
      <c r="C35" s="353"/>
      <c r="D35" s="353"/>
      <c r="E35" s="368" t="s">
        <v>82</v>
      </c>
      <c r="F35" s="363">
        <f>F33</f>
        <v>2824000</v>
      </c>
      <c r="G35" s="363"/>
      <c r="H35" s="363"/>
      <c r="I35" s="363"/>
      <c r="J35" s="363"/>
      <c r="K35" s="363"/>
      <c r="L35" s="363"/>
      <c r="M35" s="363"/>
      <c r="N35" s="363"/>
      <c r="O35" s="363">
        <f>O33</f>
        <v>60000</v>
      </c>
      <c r="P35" s="363"/>
      <c r="Q35" s="363">
        <f t="shared" si="15"/>
        <v>20270</v>
      </c>
      <c r="R35" s="363">
        <f t="shared" ref="R35:R43" si="33">Q35*20</f>
        <v>405400</v>
      </c>
      <c r="S35" s="363">
        <v>0</v>
      </c>
      <c r="T35" s="363"/>
      <c r="U35" s="356">
        <f t="shared" si="13"/>
        <v>3289400</v>
      </c>
      <c r="V35" s="357"/>
      <c r="W35" s="365">
        <f t="shared" ref="W35:W44" si="34">ROUNDUP(U35*1/12,-1)</f>
        <v>274120</v>
      </c>
      <c r="X35" s="366">
        <f t="shared" si="28"/>
        <v>148020</v>
      </c>
      <c r="Y35" s="366">
        <f t="shared" si="29"/>
        <v>109710</v>
      </c>
      <c r="Z35" s="366">
        <f t="shared" si="30"/>
        <v>11250</v>
      </c>
      <c r="AA35" s="366">
        <f t="shared" si="31"/>
        <v>34540</v>
      </c>
      <c r="AB35" s="366">
        <f t="shared" si="32"/>
        <v>26080</v>
      </c>
      <c r="AC35" s="367">
        <f t="shared" si="27"/>
        <v>603720</v>
      </c>
    </row>
    <row r="36" spans="1:29" s="332" customFormat="1" ht="12.75" customHeight="1">
      <c r="A36" s="1037"/>
      <c r="B36" s="353"/>
      <c r="C36" s="353"/>
      <c r="D36" s="353"/>
      <c r="E36" s="368" t="s">
        <v>159</v>
      </c>
      <c r="F36" s="363">
        <f>F33</f>
        <v>2824000</v>
      </c>
      <c r="G36" s="363"/>
      <c r="H36" s="363"/>
      <c r="I36" s="363"/>
      <c r="J36" s="363"/>
      <c r="K36" s="363"/>
      <c r="L36" s="363"/>
      <c r="M36" s="363"/>
      <c r="N36" s="363"/>
      <c r="O36" s="363">
        <f>O33</f>
        <v>60000</v>
      </c>
      <c r="P36" s="363"/>
      <c r="Q36" s="363">
        <f t="shared" si="15"/>
        <v>20270</v>
      </c>
      <c r="R36" s="363">
        <f t="shared" si="33"/>
        <v>405400</v>
      </c>
      <c r="S36" s="363">
        <v>0</v>
      </c>
      <c r="T36" s="363"/>
      <c r="U36" s="356">
        <f t="shared" si="13"/>
        <v>3289400</v>
      </c>
      <c r="V36" s="357"/>
      <c r="W36" s="365">
        <f t="shared" si="34"/>
        <v>274120</v>
      </c>
      <c r="X36" s="366">
        <f t="shared" si="28"/>
        <v>148020</v>
      </c>
      <c r="Y36" s="366">
        <f t="shared" si="29"/>
        <v>109710</v>
      </c>
      <c r="Z36" s="366">
        <f t="shared" si="30"/>
        <v>11250</v>
      </c>
      <c r="AA36" s="366">
        <f t="shared" si="31"/>
        <v>34540</v>
      </c>
      <c r="AB36" s="366">
        <f t="shared" si="32"/>
        <v>26080</v>
      </c>
      <c r="AC36" s="367">
        <f t="shared" si="27"/>
        <v>603720</v>
      </c>
    </row>
    <row r="37" spans="1:29" s="332" customFormat="1" ht="12.75" customHeight="1">
      <c r="A37" s="1037"/>
      <c r="B37" s="353"/>
      <c r="C37" s="353"/>
      <c r="D37" s="353"/>
      <c r="E37" s="368" t="s">
        <v>61</v>
      </c>
      <c r="F37" s="363">
        <f>F33</f>
        <v>2824000</v>
      </c>
      <c r="G37" s="363"/>
      <c r="H37" s="363"/>
      <c r="I37" s="363"/>
      <c r="J37" s="363"/>
      <c r="K37" s="363"/>
      <c r="L37" s="363"/>
      <c r="M37" s="363"/>
      <c r="N37" s="363"/>
      <c r="O37" s="363">
        <f>O33</f>
        <v>60000</v>
      </c>
      <c r="P37" s="363"/>
      <c r="Q37" s="363">
        <f t="shared" si="15"/>
        <v>20270</v>
      </c>
      <c r="R37" s="363">
        <f t="shared" si="33"/>
        <v>405400</v>
      </c>
      <c r="S37" s="363">
        <v>0</v>
      </c>
      <c r="T37" s="363"/>
      <c r="U37" s="356">
        <f t="shared" si="13"/>
        <v>3289400</v>
      </c>
      <c r="V37" s="357"/>
      <c r="W37" s="365">
        <f t="shared" si="34"/>
        <v>274120</v>
      </c>
      <c r="X37" s="366">
        <f t="shared" si="28"/>
        <v>148020</v>
      </c>
      <c r="Y37" s="366">
        <f t="shared" si="29"/>
        <v>109710</v>
      </c>
      <c r="Z37" s="366">
        <f t="shared" si="30"/>
        <v>11250</v>
      </c>
      <c r="AA37" s="366">
        <f t="shared" si="31"/>
        <v>34540</v>
      </c>
      <c r="AB37" s="366">
        <f t="shared" si="32"/>
        <v>26080</v>
      </c>
      <c r="AC37" s="367">
        <f t="shared" si="27"/>
        <v>603720</v>
      </c>
    </row>
    <row r="38" spans="1:29" s="332" customFormat="1" ht="12.75" customHeight="1">
      <c r="A38" s="1037"/>
      <c r="B38" s="353"/>
      <c r="C38" s="353"/>
      <c r="D38" s="353"/>
      <c r="E38" s="368" t="s">
        <v>156</v>
      </c>
      <c r="F38" s="363">
        <f>F37</f>
        <v>2824000</v>
      </c>
      <c r="G38" s="363"/>
      <c r="H38" s="363"/>
      <c r="I38" s="363"/>
      <c r="J38" s="363"/>
      <c r="K38" s="363"/>
      <c r="L38" s="363"/>
      <c r="M38" s="363"/>
      <c r="N38" s="363"/>
      <c r="O38" s="363">
        <f>O33</f>
        <v>60000</v>
      </c>
      <c r="P38" s="363"/>
      <c r="Q38" s="363">
        <f t="shared" si="15"/>
        <v>20270</v>
      </c>
      <c r="R38" s="363">
        <f t="shared" si="33"/>
        <v>405400</v>
      </c>
      <c r="S38" s="363">
        <v>0</v>
      </c>
      <c r="T38" s="363"/>
      <c r="U38" s="356">
        <f t="shared" si="13"/>
        <v>3289400</v>
      </c>
      <c r="V38" s="357"/>
      <c r="W38" s="365">
        <f t="shared" si="34"/>
        <v>274120</v>
      </c>
      <c r="X38" s="366">
        <f t="shared" si="28"/>
        <v>148020</v>
      </c>
      <c r="Y38" s="366">
        <f t="shared" si="29"/>
        <v>109710</v>
      </c>
      <c r="Z38" s="366">
        <f t="shared" si="30"/>
        <v>11250</v>
      </c>
      <c r="AA38" s="366">
        <f t="shared" si="31"/>
        <v>34540</v>
      </c>
      <c r="AB38" s="366">
        <f t="shared" si="32"/>
        <v>26080</v>
      </c>
      <c r="AC38" s="367">
        <f t="shared" si="27"/>
        <v>603720</v>
      </c>
    </row>
    <row r="39" spans="1:29" s="332" customFormat="1" ht="12.75" customHeight="1">
      <c r="A39" s="1037"/>
      <c r="B39" s="353"/>
      <c r="C39" s="353"/>
      <c r="D39" s="353"/>
      <c r="E39" s="368" t="s">
        <v>136</v>
      </c>
      <c r="F39" s="363">
        <f>F38</f>
        <v>2824000</v>
      </c>
      <c r="G39" s="363"/>
      <c r="H39" s="364"/>
      <c r="I39" s="363"/>
      <c r="J39" s="363"/>
      <c r="K39" s="363"/>
      <c r="L39" s="363"/>
      <c r="M39" s="363"/>
      <c r="N39" s="363"/>
      <c r="O39" s="363">
        <f>O38</f>
        <v>60000</v>
      </c>
      <c r="P39" s="363"/>
      <c r="Q39" s="363">
        <f t="shared" si="15"/>
        <v>20270</v>
      </c>
      <c r="R39" s="363">
        <f t="shared" si="33"/>
        <v>405400</v>
      </c>
      <c r="S39" s="363">
        <v>0</v>
      </c>
      <c r="T39" s="363"/>
      <c r="U39" s="356">
        <f t="shared" si="13"/>
        <v>3289400</v>
      </c>
      <c r="V39" s="357"/>
      <c r="W39" s="365">
        <f t="shared" si="34"/>
        <v>274120</v>
      </c>
      <c r="X39" s="366">
        <f t="shared" si="28"/>
        <v>148020</v>
      </c>
      <c r="Y39" s="366">
        <f t="shared" si="29"/>
        <v>109710</v>
      </c>
      <c r="Z39" s="366">
        <f t="shared" si="30"/>
        <v>11250</v>
      </c>
      <c r="AA39" s="366">
        <f t="shared" si="31"/>
        <v>34540</v>
      </c>
      <c r="AB39" s="366">
        <f t="shared" si="32"/>
        <v>26080</v>
      </c>
      <c r="AC39" s="367">
        <f t="shared" si="27"/>
        <v>603720</v>
      </c>
    </row>
    <row r="40" spans="1:29" s="332" customFormat="1" ht="12.75" customHeight="1">
      <c r="A40" s="1037"/>
      <c r="B40" s="353"/>
      <c r="C40" s="353"/>
      <c r="D40" s="353"/>
      <c r="E40" s="368" t="s">
        <v>84</v>
      </c>
      <c r="F40" s="363">
        <f>F39</f>
        <v>2824000</v>
      </c>
      <c r="G40" s="363"/>
      <c r="H40" s="363"/>
      <c r="I40" s="363"/>
      <c r="J40" s="363"/>
      <c r="K40" s="363"/>
      <c r="L40" s="363"/>
      <c r="M40" s="363"/>
      <c r="N40" s="363"/>
      <c r="O40" s="363">
        <f>O39</f>
        <v>60000</v>
      </c>
      <c r="P40" s="363"/>
      <c r="Q40" s="363">
        <f t="shared" si="15"/>
        <v>20270</v>
      </c>
      <c r="R40" s="363">
        <f t="shared" si="33"/>
        <v>405400</v>
      </c>
      <c r="S40" s="363">
        <v>0</v>
      </c>
      <c r="T40" s="363"/>
      <c r="U40" s="356">
        <f t="shared" si="13"/>
        <v>3289400</v>
      </c>
      <c r="V40" s="357"/>
      <c r="W40" s="365">
        <f t="shared" si="34"/>
        <v>274120</v>
      </c>
      <c r="X40" s="366">
        <f t="shared" si="28"/>
        <v>148020</v>
      </c>
      <c r="Y40" s="366">
        <f t="shared" si="29"/>
        <v>109710</v>
      </c>
      <c r="Z40" s="366">
        <f t="shared" si="30"/>
        <v>11250</v>
      </c>
      <c r="AA40" s="366">
        <f t="shared" si="31"/>
        <v>34540</v>
      </c>
      <c r="AB40" s="366">
        <f t="shared" si="32"/>
        <v>26080</v>
      </c>
      <c r="AC40" s="367">
        <f t="shared" si="27"/>
        <v>603720</v>
      </c>
    </row>
    <row r="41" spans="1:29" s="332" customFormat="1" ht="12.75" customHeight="1">
      <c r="A41" s="1037"/>
      <c r="B41" s="353"/>
      <c r="C41" s="353"/>
      <c r="D41" s="353"/>
      <c r="E41" s="368" t="s">
        <v>67</v>
      </c>
      <c r="F41" s="363">
        <f>F39</f>
        <v>2824000</v>
      </c>
      <c r="G41" s="363"/>
      <c r="H41" s="363"/>
      <c r="I41" s="363"/>
      <c r="J41" s="363"/>
      <c r="K41" s="363"/>
      <c r="L41" s="363"/>
      <c r="M41" s="363">
        <f>F41*60%</f>
        <v>1694400</v>
      </c>
      <c r="N41" s="363"/>
      <c r="O41" s="363">
        <f>O39</f>
        <v>60000</v>
      </c>
      <c r="P41" s="363"/>
      <c r="Q41" s="363">
        <f t="shared" si="15"/>
        <v>20270</v>
      </c>
      <c r="R41" s="363">
        <f t="shared" si="33"/>
        <v>405400</v>
      </c>
      <c r="S41" s="363">
        <v>0</v>
      </c>
      <c r="T41" s="363"/>
      <c r="U41" s="356">
        <f t="shared" si="13"/>
        <v>4983800</v>
      </c>
      <c r="V41" s="357"/>
      <c r="W41" s="365">
        <f t="shared" si="34"/>
        <v>415320</v>
      </c>
      <c r="X41" s="366">
        <f t="shared" si="28"/>
        <v>224270</v>
      </c>
      <c r="Y41" s="366">
        <f t="shared" si="29"/>
        <v>166210</v>
      </c>
      <c r="Z41" s="366">
        <f t="shared" si="30"/>
        <v>17040</v>
      </c>
      <c r="AA41" s="366">
        <f t="shared" si="31"/>
        <v>52330</v>
      </c>
      <c r="AB41" s="366">
        <f t="shared" si="32"/>
        <v>39520</v>
      </c>
      <c r="AC41" s="367">
        <f t="shared" si="27"/>
        <v>914690</v>
      </c>
    </row>
    <row r="42" spans="1:29" s="332" customFormat="1" ht="12.75" customHeight="1">
      <c r="A42" s="1037"/>
      <c r="B42" s="353"/>
      <c r="C42" s="353"/>
      <c r="D42" s="353"/>
      <c r="E42" s="368" t="s">
        <v>54</v>
      </c>
      <c r="F42" s="363">
        <f>F40</f>
        <v>2824000</v>
      </c>
      <c r="G42" s="363"/>
      <c r="H42" s="363"/>
      <c r="I42" s="363"/>
      <c r="J42" s="363"/>
      <c r="K42" s="363"/>
      <c r="L42" s="363"/>
      <c r="M42" s="363"/>
      <c r="N42" s="363"/>
      <c r="O42" s="363">
        <f>O39</f>
        <v>60000</v>
      </c>
      <c r="P42" s="363"/>
      <c r="Q42" s="363">
        <f t="shared" si="15"/>
        <v>20270</v>
      </c>
      <c r="R42" s="363">
        <f t="shared" si="33"/>
        <v>405400</v>
      </c>
      <c r="S42" s="363">
        <v>0</v>
      </c>
      <c r="T42" s="363"/>
      <c r="U42" s="356">
        <f t="shared" si="13"/>
        <v>3289400</v>
      </c>
      <c r="V42" s="357"/>
      <c r="W42" s="365">
        <f t="shared" si="34"/>
        <v>274120</v>
      </c>
      <c r="X42" s="366">
        <f t="shared" si="28"/>
        <v>148020</v>
      </c>
      <c r="Y42" s="366">
        <f t="shared" si="29"/>
        <v>109710</v>
      </c>
      <c r="Z42" s="366">
        <f t="shared" si="30"/>
        <v>11250</v>
      </c>
      <c r="AA42" s="366">
        <f t="shared" si="31"/>
        <v>34540</v>
      </c>
      <c r="AB42" s="366">
        <f t="shared" si="32"/>
        <v>26080</v>
      </c>
      <c r="AC42" s="367">
        <f t="shared" si="27"/>
        <v>603720</v>
      </c>
    </row>
    <row r="43" spans="1:29" s="332" customFormat="1" ht="14.25" customHeight="1">
      <c r="A43" s="1037"/>
      <c r="B43" s="353"/>
      <c r="C43" s="353"/>
      <c r="D43" s="353"/>
      <c r="E43" s="368" t="s">
        <v>55</v>
      </c>
      <c r="F43" s="363">
        <f>F42</f>
        <v>2824000</v>
      </c>
      <c r="G43" s="363"/>
      <c r="H43" s="363"/>
      <c r="I43" s="363"/>
      <c r="J43" s="363"/>
      <c r="K43" s="363"/>
      <c r="L43" s="363"/>
      <c r="M43" s="363"/>
      <c r="N43" s="363"/>
      <c r="O43" s="363">
        <f>O39</f>
        <v>60000</v>
      </c>
      <c r="P43" s="363"/>
      <c r="Q43" s="363">
        <f t="shared" si="15"/>
        <v>20270</v>
      </c>
      <c r="R43" s="363">
        <f t="shared" si="33"/>
        <v>405400</v>
      </c>
      <c r="S43" s="363">
        <v>0</v>
      </c>
      <c r="T43" s="363"/>
      <c r="U43" s="356">
        <f t="shared" si="13"/>
        <v>3289400</v>
      </c>
      <c r="V43" s="357"/>
      <c r="W43" s="365">
        <f t="shared" si="34"/>
        <v>274120</v>
      </c>
      <c r="X43" s="366">
        <f t="shared" si="28"/>
        <v>148020</v>
      </c>
      <c r="Y43" s="366">
        <f t="shared" si="29"/>
        <v>109710</v>
      </c>
      <c r="Z43" s="366">
        <f t="shared" si="30"/>
        <v>11250</v>
      </c>
      <c r="AA43" s="366">
        <f t="shared" si="31"/>
        <v>34540</v>
      </c>
      <c r="AB43" s="366">
        <f t="shared" si="32"/>
        <v>26080</v>
      </c>
      <c r="AC43" s="367">
        <f t="shared" si="27"/>
        <v>603720</v>
      </c>
    </row>
    <row r="44" spans="1:29" s="332" customFormat="1" ht="14.25" customHeight="1">
      <c r="A44" s="1037"/>
      <c r="B44" s="353"/>
      <c r="C44" s="353"/>
      <c r="D44" s="353"/>
      <c r="E44" s="368" t="s">
        <v>179</v>
      </c>
      <c r="F44" s="363">
        <f>F43</f>
        <v>2824000</v>
      </c>
      <c r="G44" s="363"/>
      <c r="H44" s="363"/>
      <c r="I44" s="363"/>
      <c r="J44" s="363"/>
      <c r="K44" s="363"/>
      <c r="L44" s="363"/>
      <c r="M44" s="363"/>
      <c r="N44" s="363"/>
      <c r="O44" s="363">
        <f>O39</f>
        <v>60000</v>
      </c>
      <c r="P44" s="363"/>
      <c r="Q44" s="363">
        <f t="shared" si="15"/>
        <v>20270</v>
      </c>
      <c r="R44" s="363">
        <f>Q44*20*2</f>
        <v>810800</v>
      </c>
      <c r="S44" s="363">
        <v>0</v>
      </c>
      <c r="T44" s="363"/>
      <c r="U44" s="356">
        <f t="shared" si="13"/>
        <v>3694800</v>
      </c>
      <c r="V44" s="357"/>
      <c r="W44" s="365">
        <f t="shared" si="34"/>
        <v>307900</v>
      </c>
      <c r="X44" s="366">
        <f t="shared" si="28"/>
        <v>166270</v>
      </c>
      <c r="Y44" s="366">
        <f t="shared" si="29"/>
        <v>123230</v>
      </c>
      <c r="Z44" s="366">
        <f t="shared" si="30"/>
        <v>12640</v>
      </c>
      <c r="AA44" s="366">
        <f t="shared" si="31"/>
        <v>38800</v>
      </c>
      <c r="AB44" s="366">
        <f t="shared" si="32"/>
        <v>29300</v>
      </c>
      <c r="AC44" s="367">
        <f t="shared" si="27"/>
        <v>678140</v>
      </c>
    </row>
    <row r="45" spans="1:29" s="352" customFormat="1" ht="16.5" customHeight="1">
      <c r="A45" s="1037">
        <v>4</v>
      </c>
      <c r="B45" s="353" t="s">
        <v>325</v>
      </c>
      <c r="C45" s="353">
        <v>10</v>
      </c>
      <c r="D45" s="353">
        <v>1</v>
      </c>
      <c r="E45" s="355" t="s">
        <v>164</v>
      </c>
      <c r="F45" s="371">
        <f t="shared" ref="F45:U45" si="35">SUM(F46:F57)</f>
        <v>33888000</v>
      </c>
      <c r="G45" s="356">
        <f t="shared" si="35"/>
        <v>0</v>
      </c>
      <c r="H45" s="356">
        <f t="shared" si="35"/>
        <v>0</v>
      </c>
      <c r="I45" s="356">
        <f t="shared" si="35"/>
        <v>0</v>
      </c>
      <c r="J45" s="356">
        <f t="shared" si="35"/>
        <v>0</v>
      </c>
      <c r="K45" s="356">
        <f t="shared" si="35"/>
        <v>0</v>
      </c>
      <c r="L45" s="356">
        <f t="shared" si="35"/>
        <v>0</v>
      </c>
      <c r="M45" s="356">
        <f t="shared" si="35"/>
        <v>3388800</v>
      </c>
      <c r="N45" s="356">
        <f t="shared" si="35"/>
        <v>0</v>
      </c>
      <c r="O45" s="356">
        <f t="shared" si="35"/>
        <v>720000</v>
      </c>
      <c r="P45" s="356">
        <f t="shared" si="35"/>
        <v>0</v>
      </c>
      <c r="Q45" s="356"/>
      <c r="R45" s="356">
        <f>SUM(R46:R57)</f>
        <v>4864800</v>
      </c>
      <c r="S45" s="356">
        <f t="shared" si="35"/>
        <v>0</v>
      </c>
      <c r="T45" s="356">
        <f t="shared" si="35"/>
        <v>0</v>
      </c>
      <c r="U45" s="356">
        <f t="shared" si="35"/>
        <v>42861600</v>
      </c>
      <c r="V45" s="357"/>
      <c r="W45" s="358">
        <f t="shared" ref="W45:AB45" si="36">SUM(W46:W57)</f>
        <v>3571840</v>
      </c>
      <c r="X45" s="356">
        <f t="shared" si="36"/>
        <v>1928750</v>
      </c>
      <c r="Y45" s="356">
        <f t="shared" si="36"/>
        <v>1429520</v>
      </c>
      <c r="Z45" s="356">
        <f t="shared" si="36"/>
        <v>146580</v>
      </c>
      <c r="AA45" s="356">
        <f t="shared" si="36"/>
        <v>450060</v>
      </c>
      <c r="AB45" s="356">
        <f t="shared" si="36"/>
        <v>339850</v>
      </c>
      <c r="AC45" s="359">
        <f>SUM(AC46:AC57)</f>
        <v>7866600</v>
      </c>
    </row>
    <row r="46" spans="1:29" s="332" customFormat="1" ht="16.5" customHeight="1">
      <c r="A46" s="1037"/>
      <c r="B46" s="353" t="s">
        <v>65</v>
      </c>
      <c r="C46" s="353">
        <v>10</v>
      </c>
      <c r="D46" s="353"/>
      <c r="E46" s="368" t="s">
        <v>94</v>
      </c>
      <c r="F46" s="363">
        <v>2824000</v>
      </c>
      <c r="G46" s="363"/>
      <c r="H46" s="364"/>
      <c r="I46" s="363"/>
      <c r="J46" s="363"/>
      <c r="K46" s="363"/>
      <c r="L46" s="363"/>
      <c r="M46" s="363" t="s">
        <v>58</v>
      </c>
      <c r="N46" s="363"/>
      <c r="O46" s="363">
        <v>60000</v>
      </c>
      <c r="P46" s="363"/>
      <c r="Q46" s="363"/>
      <c r="R46" s="363"/>
      <c r="S46" s="363"/>
      <c r="T46" s="363"/>
      <c r="U46" s="356">
        <f>SUM(F46,M46,O46,R46,T46,S46)</f>
        <v>2884000</v>
      </c>
      <c r="V46" s="357"/>
      <c r="W46" s="365">
        <f>ROUNDUP(U46*1/12,-1)</f>
        <v>240340</v>
      </c>
      <c r="X46" s="366">
        <f>ROUND(U46*4.5%,-1)</f>
        <v>129780</v>
      </c>
      <c r="Y46" s="366">
        <f>ROUNDUP((U46-L46)*6.67%*1/2,-1)</f>
        <v>96190</v>
      </c>
      <c r="Z46" s="366">
        <f>ROUNDUP(Y46*10.25%,-1)</f>
        <v>9860</v>
      </c>
      <c r="AA46" s="366">
        <f>ROUND(U46*1.05%,-1)</f>
        <v>30280</v>
      </c>
      <c r="AB46" s="366">
        <f>ROUND(U46*0.793%,-1)</f>
        <v>22870</v>
      </c>
      <c r="AC46" s="367">
        <f t="shared" ref="AC46:AC57" si="37">SUM(W46:AB46)</f>
        <v>529320</v>
      </c>
    </row>
    <row r="47" spans="1:29" s="332" customFormat="1" ht="16.5" customHeight="1">
      <c r="A47" s="1037"/>
      <c r="B47" s="353"/>
      <c r="C47" s="353"/>
      <c r="D47" s="353"/>
      <c r="E47" s="368" t="s">
        <v>150</v>
      </c>
      <c r="F47" s="363">
        <f>F46</f>
        <v>2824000</v>
      </c>
      <c r="G47" s="363"/>
      <c r="H47" s="363"/>
      <c r="I47" s="363"/>
      <c r="J47" s="363"/>
      <c r="K47" s="363"/>
      <c r="L47" s="363"/>
      <c r="M47" s="363">
        <f>F47*60%</f>
        <v>1694400</v>
      </c>
      <c r="N47" s="363"/>
      <c r="O47" s="363">
        <f>O46</f>
        <v>60000</v>
      </c>
      <c r="P47" s="363"/>
      <c r="Q47" s="363">
        <f>ROUND((F46+T46)*1/209*1.5,-1)</f>
        <v>20270</v>
      </c>
      <c r="R47" s="363">
        <f>Q47*20</f>
        <v>405400</v>
      </c>
      <c r="S47" s="363">
        <v>0</v>
      </c>
      <c r="T47" s="363"/>
      <c r="U47" s="356">
        <f>SUM(F47,M47,O47,R47,T47,S47)</f>
        <v>4983800</v>
      </c>
      <c r="V47" s="357"/>
      <c r="W47" s="365">
        <f>ROUNDUP((T47+U47)*1/12,-1)</f>
        <v>415320</v>
      </c>
      <c r="X47" s="366">
        <f t="shared" ref="X47:X57" si="38">ROUND(U47*4.5%,-1)</f>
        <v>224270</v>
      </c>
      <c r="Y47" s="366">
        <f t="shared" ref="Y47:Y57" si="39">ROUNDUP((U47-L47)*6.67%*1/2,-1)</f>
        <v>166210</v>
      </c>
      <c r="Z47" s="366">
        <f t="shared" ref="Z47:Z57" si="40">ROUNDUP(Y47*10.25%,-1)</f>
        <v>17040</v>
      </c>
      <c r="AA47" s="366">
        <f t="shared" ref="AA47:AA57" si="41">ROUND(U47*1.05%,-1)</f>
        <v>52330</v>
      </c>
      <c r="AB47" s="366">
        <f t="shared" ref="AB47:AB57" si="42">ROUND(U47*0.793%,-1)</f>
        <v>39520</v>
      </c>
      <c r="AC47" s="367">
        <f t="shared" si="37"/>
        <v>914690</v>
      </c>
    </row>
    <row r="48" spans="1:29" s="332" customFormat="1" ht="16.5" customHeight="1">
      <c r="A48" s="1037"/>
      <c r="B48" s="353"/>
      <c r="C48" s="353"/>
      <c r="D48" s="353"/>
      <c r="E48" s="368" t="s">
        <v>82</v>
      </c>
      <c r="F48" s="363">
        <f>F46</f>
        <v>2824000</v>
      </c>
      <c r="G48" s="363"/>
      <c r="H48" s="363"/>
      <c r="I48" s="363"/>
      <c r="J48" s="363"/>
      <c r="K48" s="363"/>
      <c r="L48" s="363"/>
      <c r="M48" s="363"/>
      <c r="N48" s="363"/>
      <c r="O48" s="363">
        <f>O46</f>
        <v>60000</v>
      </c>
      <c r="P48" s="363"/>
      <c r="Q48" s="363">
        <f t="shared" si="15"/>
        <v>20270</v>
      </c>
      <c r="R48" s="363">
        <f t="shared" ref="R48:R56" si="43">Q48*20</f>
        <v>405400</v>
      </c>
      <c r="S48" s="363">
        <v>0</v>
      </c>
      <c r="T48" s="363"/>
      <c r="U48" s="356">
        <f t="shared" si="13"/>
        <v>3289400</v>
      </c>
      <c r="V48" s="357"/>
      <c r="W48" s="365">
        <f t="shared" ref="W48:W57" si="44">ROUNDUP(U48*1/12,-1)</f>
        <v>274120</v>
      </c>
      <c r="X48" s="366">
        <f t="shared" si="38"/>
        <v>148020</v>
      </c>
      <c r="Y48" s="366">
        <f t="shared" si="39"/>
        <v>109710</v>
      </c>
      <c r="Z48" s="366">
        <f t="shared" si="40"/>
        <v>11250</v>
      </c>
      <c r="AA48" s="366">
        <f t="shared" si="41"/>
        <v>34540</v>
      </c>
      <c r="AB48" s="366">
        <f t="shared" si="42"/>
        <v>26080</v>
      </c>
      <c r="AC48" s="367">
        <f t="shared" si="37"/>
        <v>603720</v>
      </c>
    </row>
    <row r="49" spans="1:29" s="332" customFormat="1" ht="16.5" customHeight="1">
      <c r="A49" s="1037"/>
      <c r="B49" s="353"/>
      <c r="C49" s="353"/>
      <c r="D49" s="353"/>
      <c r="E49" s="368" t="s">
        <v>159</v>
      </c>
      <c r="F49" s="363">
        <f>F48</f>
        <v>2824000</v>
      </c>
      <c r="G49" s="363"/>
      <c r="H49" s="363"/>
      <c r="I49" s="363"/>
      <c r="J49" s="363"/>
      <c r="K49" s="363"/>
      <c r="L49" s="363"/>
      <c r="M49" s="363"/>
      <c r="N49" s="363"/>
      <c r="O49" s="363">
        <f>O46</f>
        <v>60000</v>
      </c>
      <c r="P49" s="363"/>
      <c r="Q49" s="363">
        <f t="shared" si="15"/>
        <v>20270</v>
      </c>
      <c r="R49" s="363">
        <f t="shared" si="43"/>
        <v>405400</v>
      </c>
      <c r="S49" s="363">
        <v>0</v>
      </c>
      <c r="T49" s="363"/>
      <c r="U49" s="356">
        <f t="shared" si="13"/>
        <v>3289400</v>
      </c>
      <c r="V49" s="357"/>
      <c r="W49" s="365">
        <f t="shared" si="44"/>
        <v>274120</v>
      </c>
      <c r="X49" s="366">
        <f t="shared" si="38"/>
        <v>148020</v>
      </c>
      <c r="Y49" s="366">
        <f t="shared" si="39"/>
        <v>109710</v>
      </c>
      <c r="Z49" s="366">
        <f t="shared" si="40"/>
        <v>11250</v>
      </c>
      <c r="AA49" s="366">
        <f t="shared" si="41"/>
        <v>34540</v>
      </c>
      <c r="AB49" s="366">
        <f t="shared" si="42"/>
        <v>26080</v>
      </c>
      <c r="AC49" s="367">
        <f t="shared" si="37"/>
        <v>603720</v>
      </c>
    </row>
    <row r="50" spans="1:29" s="332" customFormat="1" ht="16.5" customHeight="1">
      <c r="A50" s="1037"/>
      <c r="B50" s="353"/>
      <c r="C50" s="353"/>
      <c r="D50" s="353"/>
      <c r="E50" s="368" t="s">
        <v>61</v>
      </c>
      <c r="F50" s="363">
        <f>F49</f>
        <v>2824000</v>
      </c>
      <c r="G50" s="363"/>
      <c r="H50" s="363"/>
      <c r="I50" s="363"/>
      <c r="J50" s="363"/>
      <c r="K50" s="363"/>
      <c r="L50" s="363"/>
      <c r="M50" s="363"/>
      <c r="N50" s="363"/>
      <c r="O50" s="363">
        <f>O46</f>
        <v>60000</v>
      </c>
      <c r="P50" s="363"/>
      <c r="Q50" s="363">
        <f t="shared" si="15"/>
        <v>20270</v>
      </c>
      <c r="R50" s="363">
        <f t="shared" si="43"/>
        <v>405400</v>
      </c>
      <c r="S50" s="363">
        <v>0</v>
      </c>
      <c r="T50" s="363"/>
      <c r="U50" s="356">
        <f t="shared" si="13"/>
        <v>3289400</v>
      </c>
      <c r="V50" s="357"/>
      <c r="W50" s="365">
        <f t="shared" si="44"/>
        <v>274120</v>
      </c>
      <c r="X50" s="366">
        <f t="shared" si="38"/>
        <v>148020</v>
      </c>
      <c r="Y50" s="366">
        <f t="shared" si="39"/>
        <v>109710</v>
      </c>
      <c r="Z50" s="366">
        <f t="shared" si="40"/>
        <v>11250</v>
      </c>
      <c r="AA50" s="366">
        <f t="shared" si="41"/>
        <v>34540</v>
      </c>
      <c r="AB50" s="366">
        <f t="shared" si="42"/>
        <v>26080</v>
      </c>
      <c r="AC50" s="367">
        <f t="shared" si="37"/>
        <v>603720</v>
      </c>
    </row>
    <row r="51" spans="1:29" s="332" customFormat="1" ht="16.5" customHeight="1">
      <c r="A51" s="1037"/>
      <c r="B51" s="353"/>
      <c r="C51" s="353"/>
      <c r="D51" s="353"/>
      <c r="E51" s="368" t="s">
        <v>156</v>
      </c>
      <c r="F51" s="363">
        <f>F50</f>
        <v>2824000</v>
      </c>
      <c r="G51" s="363"/>
      <c r="H51" s="363"/>
      <c r="I51" s="363"/>
      <c r="J51" s="363"/>
      <c r="K51" s="363"/>
      <c r="L51" s="363"/>
      <c r="M51" s="363"/>
      <c r="N51" s="363"/>
      <c r="O51" s="363">
        <f>O46</f>
        <v>60000</v>
      </c>
      <c r="P51" s="363"/>
      <c r="Q51" s="363">
        <f t="shared" si="15"/>
        <v>20270</v>
      </c>
      <c r="R51" s="363">
        <f t="shared" si="43"/>
        <v>405400</v>
      </c>
      <c r="S51" s="363">
        <v>0</v>
      </c>
      <c r="T51" s="363"/>
      <c r="U51" s="356">
        <f t="shared" si="13"/>
        <v>3289400</v>
      </c>
      <c r="V51" s="357"/>
      <c r="W51" s="365">
        <f t="shared" si="44"/>
        <v>274120</v>
      </c>
      <c r="X51" s="366">
        <f t="shared" si="38"/>
        <v>148020</v>
      </c>
      <c r="Y51" s="366">
        <f t="shared" si="39"/>
        <v>109710</v>
      </c>
      <c r="Z51" s="366">
        <f t="shared" si="40"/>
        <v>11250</v>
      </c>
      <c r="AA51" s="366">
        <f t="shared" si="41"/>
        <v>34540</v>
      </c>
      <c r="AB51" s="366">
        <f t="shared" si="42"/>
        <v>26080</v>
      </c>
      <c r="AC51" s="367">
        <f t="shared" si="37"/>
        <v>603720</v>
      </c>
    </row>
    <row r="52" spans="1:29" s="332" customFormat="1" ht="16.5" customHeight="1">
      <c r="A52" s="1037"/>
      <c r="B52" s="353"/>
      <c r="C52" s="353"/>
      <c r="D52" s="353"/>
      <c r="E52" s="368" t="s">
        <v>136</v>
      </c>
      <c r="F52" s="363">
        <f>F51</f>
        <v>2824000</v>
      </c>
      <c r="G52" s="363"/>
      <c r="H52" s="364"/>
      <c r="I52" s="363"/>
      <c r="J52" s="363"/>
      <c r="K52" s="363"/>
      <c r="L52" s="363"/>
      <c r="M52" s="363"/>
      <c r="N52" s="363"/>
      <c r="O52" s="363">
        <f>O51</f>
        <v>60000</v>
      </c>
      <c r="P52" s="363"/>
      <c r="Q52" s="363">
        <f t="shared" si="15"/>
        <v>20270</v>
      </c>
      <c r="R52" s="363">
        <f t="shared" si="43"/>
        <v>405400</v>
      </c>
      <c r="S52" s="363">
        <v>0</v>
      </c>
      <c r="T52" s="363"/>
      <c r="U52" s="356">
        <f>SUM(F52,M52,O52,R52,T52,S52)</f>
        <v>3289400</v>
      </c>
      <c r="V52" s="357"/>
      <c r="W52" s="365">
        <f t="shared" si="44"/>
        <v>274120</v>
      </c>
      <c r="X52" s="366">
        <f t="shared" si="38"/>
        <v>148020</v>
      </c>
      <c r="Y52" s="366">
        <f t="shared" si="39"/>
        <v>109710</v>
      </c>
      <c r="Z52" s="366">
        <f t="shared" si="40"/>
        <v>11250</v>
      </c>
      <c r="AA52" s="366">
        <f t="shared" si="41"/>
        <v>34540</v>
      </c>
      <c r="AB52" s="366">
        <f t="shared" si="42"/>
        <v>26080</v>
      </c>
      <c r="AC52" s="367">
        <f t="shared" si="37"/>
        <v>603720</v>
      </c>
    </row>
    <row r="53" spans="1:29" s="332" customFormat="1" ht="16.5" customHeight="1">
      <c r="A53" s="1037"/>
      <c r="B53" s="353"/>
      <c r="C53" s="353"/>
      <c r="D53" s="353"/>
      <c r="E53" s="368" t="s">
        <v>84</v>
      </c>
      <c r="F53" s="363">
        <f>F52</f>
        <v>2824000</v>
      </c>
      <c r="G53" s="363"/>
      <c r="H53" s="363"/>
      <c r="I53" s="363"/>
      <c r="J53" s="363"/>
      <c r="K53" s="363"/>
      <c r="L53" s="363"/>
      <c r="M53" s="363"/>
      <c r="N53" s="363"/>
      <c r="O53" s="363">
        <f>O52</f>
        <v>60000</v>
      </c>
      <c r="P53" s="363"/>
      <c r="Q53" s="363">
        <f t="shared" si="15"/>
        <v>20270</v>
      </c>
      <c r="R53" s="363">
        <f t="shared" si="43"/>
        <v>405400</v>
      </c>
      <c r="S53" s="363">
        <v>0</v>
      </c>
      <c r="T53" s="363"/>
      <c r="U53" s="356">
        <f t="shared" si="13"/>
        <v>3289400</v>
      </c>
      <c r="V53" s="357"/>
      <c r="W53" s="365">
        <f t="shared" si="44"/>
        <v>274120</v>
      </c>
      <c r="X53" s="366">
        <f t="shared" si="38"/>
        <v>148020</v>
      </c>
      <c r="Y53" s="366">
        <f t="shared" si="39"/>
        <v>109710</v>
      </c>
      <c r="Z53" s="366">
        <f t="shared" si="40"/>
        <v>11250</v>
      </c>
      <c r="AA53" s="366">
        <f t="shared" si="41"/>
        <v>34540</v>
      </c>
      <c r="AB53" s="366">
        <f t="shared" si="42"/>
        <v>26080</v>
      </c>
      <c r="AC53" s="367">
        <f t="shared" si="37"/>
        <v>603720</v>
      </c>
    </row>
    <row r="54" spans="1:29" s="332" customFormat="1" ht="16.5" customHeight="1">
      <c r="A54" s="1037"/>
      <c r="B54" s="353"/>
      <c r="C54" s="353"/>
      <c r="D54" s="353"/>
      <c r="E54" s="368" t="s">
        <v>67</v>
      </c>
      <c r="F54" s="363">
        <f>F52</f>
        <v>2824000</v>
      </c>
      <c r="G54" s="363"/>
      <c r="H54" s="363"/>
      <c r="I54" s="363"/>
      <c r="J54" s="363"/>
      <c r="K54" s="363"/>
      <c r="L54" s="363"/>
      <c r="M54" s="363">
        <f>F54*60%</f>
        <v>1694400</v>
      </c>
      <c r="N54" s="363"/>
      <c r="O54" s="363">
        <f>O52</f>
        <v>60000</v>
      </c>
      <c r="P54" s="363"/>
      <c r="Q54" s="363">
        <f t="shared" si="15"/>
        <v>20270</v>
      </c>
      <c r="R54" s="363">
        <f t="shared" si="43"/>
        <v>405400</v>
      </c>
      <c r="S54" s="363">
        <v>0</v>
      </c>
      <c r="T54" s="363"/>
      <c r="U54" s="356">
        <f t="shared" si="13"/>
        <v>4983800</v>
      </c>
      <c r="V54" s="357"/>
      <c r="W54" s="365">
        <f t="shared" si="44"/>
        <v>415320</v>
      </c>
      <c r="X54" s="366">
        <f t="shared" si="38"/>
        <v>224270</v>
      </c>
      <c r="Y54" s="366">
        <f t="shared" si="39"/>
        <v>166210</v>
      </c>
      <c r="Z54" s="366">
        <f t="shared" si="40"/>
        <v>17040</v>
      </c>
      <c r="AA54" s="366">
        <f t="shared" si="41"/>
        <v>52330</v>
      </c>
      <c r="AB54" s="366">
        <f t="shared" si="42"/>
        <v>39520</v>
      </c>
      <c r="AC54" s="367">
        <f t="shared" si="37"/>
        <v>914690</v>
      </c>
    </row>
    <row r="55" spans="1:29" s="332" customFormat="1" ht="16.5" customHeight="1">
      <c r="A55" s="1037"/>
      <c r="B55" s="353"/>
      <c r="C55" s="353"/>
      <c r="D55" s="353"/>
      <c r="E55" s="368" t="s">
        <v>54</v>
      </c>
      <c r="F55" s="363">
        <f>F52</f>
        <v>2824000</v>
      </c>
      <c r="G55" s="363"/>
      <c r="H55" s="363"/>
      <c r="I55" s="363"/>
      <c r="J55" s="363"/>
      <c r="K55" s="363"/>
      <c r="L55" s="363"/>
      <c r="M55" s="363"/>
      <c r="N55" s="363"/>
      <c r="O55" s="363">
        <f>O52</f>
        <v>60000</v>
      </c>
      <c r="P55" s="363"/>
      <c r="Q55" s="363">
        <f t="shared" si="15"/>
        <v>20270</v>
      </c>
      <c r="R55" s="363">
        <f t="shared" si="43"/>
        <v>405400</v>
      </c>
      <c r="S55" s="363">
        <v>0</v>
      </c>
      <c r="T55" s="363"/>
      <c r="U55" s="356">
        <f t="shared" si="13"/>
        <v>3289400</v>
      </c>
      <c r="V55" s="357"/>
      <c r="W55" s="365">
        <f t="shared" si="44"/>
        <v>274120</v>
      </c>
      <c r="X55" s="366">
        <f t="shared" si="38"/>
        <v>148020</v>
      </c>
      <c r="Y55" s="366">
        <f t="shared" si="39"/>
        <v>109710</v>
      </c>
      <c r="Z55" s="366">
        <f t="shared" si="40"/>
        <v>11250</v>
      </c>
      <c r="AA55" s="366">
        <f t="shared" si="41"/>
        <v>34540</v>
      </c>
      <c r="AB55" s="366">
        <f t="shared" si="42"/>
        <v>26080</v>
      </c>
      <c r="AC55" s="367">
        <f t="shared" si="37"/>
        <v>603720</v>
      </c>
    </row>
    <row r="56" spans="1:29" s="332" customFormat="1" ht="16.5" customHeight="1">
      <c r="A56" s="1037"/>
      <c r="B56" s="353"/>
      <c r="C56" s="353"/>
      <c r="D56" s="353"/>
      <c r="E56" s="368" t="s">
        <v>55</v>
      </c>
      <c r="F56" s="363">
        <f>F52</f>
        <v>2824000</v>
      </c>
      <c r="G56" s="363"/>
      <c r="H56" s="363"/>
      <c r="I56" s="363"/>
      <c r="J56" s="363"/>
      <c r="K56" s="363"/>
      <c r="L56" s="363"/>
      <c r="M56" s="363"/>
      <c r="N56" s="363"/>
      <c r="O56" s="363">
        <f>O52</f>
        <v>60000</v>
      </c>
      <c r="P56" s="363"/>
      <c r="Q56" s="363">
        <f t="shared" si="15"/>
        <v>20270</v>
      </c>
      <c r="R56" s="363">
        <f t="shared" si="43"/>
        <v>405400</v>
      </c>
      <c r="S56" s="363">
        <v>0</v>
      </c>
      <c r="T56" s="363"/>
      <c r="U56" s="356">
        <f t="shared" si="13"/>
        <v>3289400</v>
      </c>
      <c r="V56" s="357"/>
      <c r="W56" s="365">
        <f t="shared" si="44"/>
        <v>274120</v>
      </c>
      <c r="X56" s="366">
        <f t="shared" si="38"/>
        <v>148020</v>
      </c>
      <c r="Y56" s="366">
        <f t="shared" si="39"/>
        <v>109710</v>
      </c>
      <c r="Z56" s="366">
        <f t="shared" si="40"/>
        <v>11250</v>
      </c>
      <c r="AA56" s="366">
        <f t="shared" si="41"/>
        <v>34540</v>
      </c>
      <c r="AB56" s="366">
        <f t="shared" si="42"/>
        <v>26080</v>
      </c>
      <c r="AC56" s="367">
        <f t="shared" si="37"/>
        <v>603720</v>
      </c>
    </row>
    <row r="57" spans="1:29" s="332" customFormat="1" ht="16.5" customHeight="1">
      <c r="A57" s="1037"/>
      <c r="B57" s="353"/>
      <c r="C57" s="353"/>
      <c r="D57" s="353"/>
      <c r="E57" s="368" t="s">
        <v>179</v>
      </c>
      <c r="F57" s="363">
        <f>F52</f>
        <v>2824000</v>
      </c>
      <c r="G57" s="363"/>
      <c r="H57" s="363"/>
      <c r="I57" s="363"/>
      <c r="J57" s="363"/>
      <c r="K57" s="363"/>
      <c r="L57" s="363"/>
      <c r="M57" s="363"/>
      <c r="N57" s="363"/>
      <c r="O57" s="363">
        <f>O52</f>
        <v>60000</v>
      </c>
      <c r="P57" s="363"/>
      <c r="Q57" s="363">
        <f t="shared" si="15"/>
        <v>20270</v>
      </c>
      <c r="R57" s="363">
        <f>Q57*20*2</f>
        <v>810800</v>
      </c>
      <c r="S57" s="363">
        <v>0</v>
      </c>
      <c r="T57" s="363"/>
      <c r="U57" s="356">
        <f t="shared" si="13"/>
        <v>3694800</v>
      </c>
      <c r="V57" s="357"/>
      <c r="W57" s="365">
        <f t="shared" si="44"/>
        <v>307900</v>
      </c>
      <c r="X57" s="366">
        <f t="shared" si="38"/>
        <v>166270</v>
      </c>
      <c r="Y57" s="366">
        <f t="shared" si="39"/>
        <v>123230</v>
      </c>
      <c r="Z57" s="366">
        <f t="shared" si="40"/>
        <v>12640</v>
      </c>
      <c r="AA57" s="366">
        <f t="shared" si="41"/>
        <v>38800</v>
      </c>
      <c r="AB57" s="366">
        <f t="shared" si="42"/>
        <v>29300</v>
      </c>
      <c r="AC57" s="367">
        <f t="shared" si="37"/>
        <v>678140</v>
      </c>
    </row>
    <row r="58" spans="1:29" s="332" customFormat="1" ht="16.5" customHeight="1">
      <c r="A58" s="1037">
        <v>5</v>
      </c>
      <c r="B58" s="353" t="s">
        <v>325</v>
      </c>
      <c r="C58" s="353">
        <v>5</v>
      </c>
      <c r="D58" s="353">
        <v>1</v>
      </c>
      <c r="E58" s="355" t="s">
        <v>164</v>
      </c>
      <c r="F58" s="371">
        <f t="shared" ref="F58:N58" si="45">SUM(F59:F70)</f>
        <v>27432000</v>
      </c>
      <c r="G58" s="356">
        <f t="shared" si="45"/>
        <v>0</v>
      </c>
      <c r="H58" s="356">
        <f t="shared" si="45"/>
        <v>0</v>
      </c>
      <c r="I58" s="356">
        <f t="shared" si="45"/>
        <v>0</v>
      </c>
      <c r="J58" s="356">
        <f t="shared" si="45"/>
        <v>0</v>
      </c>
      <c r="K58" s="356">
        <f t="shared" si="45"/>
        <v>0</v>
      </c>
      <c r="L58" s="356">
        <f t="shared" si="45"/>
        <v>0</v>
      </c>
      <c r="M58" s="356">
        <f t="shared" si="45"/>
        <v>2743200</v>
      </c>
      <c r="N58" s="356">
        <f t="shared" si="45"/>
        <v>0</v>
      </c>
      <c r="O58" s="356">
        <f>SUM(O59:O70)</f>
        <v>720000</v>
      </c>
      <c r="P58" s="356">
        <f>SUM(P59:P70)</f>
        <v>0</v>
      </c>
      <c r="Q58" s="356"/>
      <c r="R58" s="356">
        <f>SUM(R59:R70)</f>
        <v>3938400</v>
      </c>
      <c r="S58" s="356">
        <f>SUM(S59:S70)</f>
        <v>0</v>
      </c>
      <c r="T58" s="356">
        <f>SUM(T59:T70)</f>
        <v>0</v>
      </c>
      <c r="U58" s="356">
        <f>SUM(U59:U70)</f>
        <v>34833600</v>
      </c>
      <c r="V58" s="357"/>
      <c r="W58" s="358">
        <f t="shared" ref="W58:AB58" si="46">SUM(W59:W70)</f>
        <v>2902800</v>
      </c>
      <c r="X58" s="356">
        <f t="shared" si="46"/>
        <v>1567520</v>
      </c>
      <c r="Y58" s="356">
        <f t="shared" si="46"/>
        <v>1161760</v>
      </c>
      <c r="Z58" s="356">
        <f t="shared" si="46"/>
        <v>119170</v>
      </c>
      <c r="AA58" s="356">
        <f t="shared" si="46"/>
        <v>365760</v>
      </c>
      <c r="AB58" s="356">
        <f t="shared" si="46"/>
        <v>276250</v>
      </c>
      <c r="AC58" s="359">
        <f>SUM(AC59:AC70)</f>
        <v>6393260</v>
      </c>
    </row>
    <row r="59" spans="1:29" s="332" customFormat="1" ht="16.5" customHeight="1">
      <c r="A59" s="1037"/>
      <c r="B59" s="353" t="s">
        <v>165</v>
      </c>
      <c r="C59" s="353">
        <v>5</v>
      </c>
      <c r="D59" s="353"/>
      <c r="E59" s="368" t="s">
        <v>94</v>
      </c>
      <c r="F59" s="363">
        <v>2286000</v>
      </c>
      <c r="G59" s="363"/>
      <c r="H59" s="364"/>
      <c r="I59" s="363"/>
      <c r="J59" s="363"/>
      <c r="K59" s="363"/>
      <c r="L59" s="363"/>
      <c r="M59" s="363" t="s">
        <v>58</v>
      </c>
      <c r="N59" s="363"/>
      <c r="O59" s="363">
        <v>60000</v>
      </c>
      <c r="P59" s="363"/>
      <c r="Q59" s="363"/>
      <c r="R59" s="363"/>
      <c r="S59" s="363"/>
      <c r="T59" s="363"/>
      <c r="U59" s="356">
        <f t="shared" ref="U59:U70" si="47">SUM(F59,M59,O59,R59,T59,S59)</f>
        <v>2346000</v>
      </c>
      <c r="V59" s="357"/>
      <c r="W59" s="365">
        <f>ROUNDUP(U59*1/12,-1)</f>
        <v>195500</v>
      </c>
      <c r="X59" s="366">
        <f>ROUND(U59*4.5%,-1)</f>
        <v>105570</v>
      </c>
      <c r="Y59" s="366">
        <f>ROUNDUP((U59-L59)*6.67%*1/2,-1)</f>
        <v>78240</v>
      </c>
      <c r="Z59" s="366">
        <f>ROUNDUP(Y59*10.25%,-1)</f>
        <v>8020</v>
      </c>
      <c r="AA59" s="366">
        <f>ROUND(U59*1.05%,-1)</f>
        <v>24630</v>
      </c>
      <c r="AB59" s="366">
        <f>ROUND(U59*0.793%,-1)</f>
        <v>18600</v>
      </c>
      <c r="AC59" s="367">
        <f t="shared" ref="AC59:AC70" si="48">SUM(W59:AB59)</f>
        <v>430560</v>
      </c>
    </row>
    <row r="60" spans="1:29" s="332" customFormat="1" ht="16.5" customHeight="1">
      <c r="A60" s="1037"/>
      <c r="B60" s="353"/>
      <c r="C60" s="353"/>
      <c r="D60" s="353"/>
      <c r="E60" s="368" t="s">
        <v>150</v>
      </c>
      <c r="F60" s="363">
        <f>F59</f>
        <v>2286000</v>
      </c>
      <c r="G60" s="363"/>
      <c r="H60" s="363"/>
      <c r="I60" s="363"/>
      <c r="J60" s="363"/>
      <c r="K60" s="363"/>
      <c r="L60" s="363"/>
      <c r="M60" s="363">
        <f>F60*60%</f>
        <v>1371600</v>
      </c>
      <c r="N60" s="363"/>
      <c r="O60" s="363">
        <f t="shared" ref="O60:O70" si="49">O59</f>
        <v>60000</v>
      </c>
      <c r="P60" s="363"/>
      <c r="Q60" s="363">
        <f t="shared" ref="Q60:Q70" si="50">ROUND((F59+T59)*1/209*1.5,-1)</f>
        <v>16410</v>
      </c>
      <c r="R60" s="363">
        <f>Q60*20</f>
        <v>328200</v>
      </c>
      <c r="S60" s="363">
        <v>0</v>
      </c>
      <c r="T60" s="363"/>
      <c r="U60" s="356">
        <f t="shared" si="47"/>
        <v>4045800</v>
      </c>
      <c r="V60" s="357"/>
      <c r="W60" s="365">
        <f>ROUNDUP((T60+U60)*1/12,-1)</f>
        <v>337150</v>
      </c>
      <c r="X60" s="366">
        <f t="shared" ref="X60:X70" si="51">ROUND(U60*4.5%,-1)</f>
        <v>182060</v>
      </c>
      <c r="Y60" s="366">
        <f t="shared" ref="Y60:Y70" si="52">ROUNDUP((U60-L60)*6.67%*1/2,-1)</f>
        <v>134930</v>
      </c>
      <c r="Z60" s="366">
        <f t="shared" ref="Z60:Z70" si="53">ROUNDUP(Y60*10.25%,-1)</f>
        <v>13840</v>
      </c>
      <c r="AA60" s="366">
        <f t="shared" ref="AA60:AA70" si="54">ROUND(U60*1.05%,-1)</f>
        <v>42480</v>
      </c>
      <c r="AB60" s="366">
        <f t="shared" ref="AB60:AB70" si="55">ROUND(U60*0.793%,-1)</f>
        <v>32080</v>
      </c>
      <c r="AC60" s="367">
        <f t="shared" si="48"/>
        <v>742540</v>
      </c>
    </row>
    <row r="61" spans="1:29" s="332" customFormat="1" ht="16.5" customHeight="1">
      <c r="A61" s="1037"/>
      <c r="B61" s="353"/>
      <c r="C61" s="353"/>
      <c r="D61" s="353"/>
      <c r="E61" s="368" t="s">
        <v>82</v>
      </c>
      <c r="F61" s="363">
        <f>F59</f>
        <v>2286000</v>
      </c>
      <c r="G61" s="363"/>
      <c r="H61" s="363"/>
      <c r="I61" s="363"/>
      <c r="J61" s="363"/>
      <c r="K61" s="363"/>
      <c r="L61" s="363"/>
      <c r="M61" s="363"/>
      <c r="N61" s="363"/>
      <c r="O61" s="363">
        <f t="shared" si="49"/>
        <v>60000</v>
      </c>
      <c r="P61" s="363"/>
      <c r="Q61" s="363">
        <f t="shared" si="50"/>
        <v>16410</v>
      </c>
      <c r="R61" s="363">
        <f t="shared" ref="R61:R69" si="56">Q61*20</f>
        <v>328200</v>
      </c>
      <c r="S61" s="363">
        <v>0</v>
      </c>
      <c r="T61" s="363"/>
      <c r="U61" s="356">
        <f>SUM(F61,M61,O61,R61,T61,S61)</f>
        <v>2674200</v>
      </c>
      <c r="V61" s="357"/>
      <c r="W61" s="365">
        <f t="shared" ref="W61:W70" si="57">ROUNDUP(U61*1/12,-1)</f>
        <v>222850</v>
      </c>
      <c r="X61" s="366">
        <f t="shared" si="51"/>
        <v>120340</v>
      </c>
      <c r="Y61" s="366">
        <f t="shared" si="52"/>
        <v>89190</v>
      </c>
      <c r="Z61" s="366">
        <f t="shared" si="53"/>
        <v>9150</v>
      </c>
      <c r="AA61" s="366">
        <f t="shared" si="54"/>
        <v>28080</v>
      </c>
      <c r="AB61" s="366">
        <f t="shared" si="55"/>
        <v>21210</v>
      </c>
      <c r="AC61" s="367">
        <f t="shared" si="48"/>
        <v>490820</v>
      </c>
    </row>
    <row r="62" spans="1:29" s="332" customFormat="1" ht="16.5" customHeight="1">
      <c r="A62" s="1037"/>
      <c r="B62" s="353"/>
      <c r="C62" s="353"/>
      <c r="D62" s="353"/>
      <c r="E62" s="368" t="s">
        <v>159</v>
      </c>
      <c r="F62" s="363">
        <f>F59</f>
        <v>2286000</v>
      </c>
      <c r="G62" s="363"/>
      <c r="H62" s="363"/>
      <c r="I62" s="363"/>
      <c r="J62" s="363"/>
      <c r="K62" s="363"/>
      <c r="L62" s="363"/>
      <c r="M62" s="363"/>
      <c r="N62" s="363"/>
      <c r="O62" s="363">
        <f t="shared" si="49"/>
        <v>60000</v>
      </c>
      <c r="P62" s="363"/>
      <c r="Q62" s="363">
        <f t="shared" si="50"/>
        <v>16410</v>
      </c>
      <c r="R62" s="363">
        <f t="shared" si="56"/>
        <v>328200</v>
      </c>
      <c r="S62" s="363">
        <v>0</v>
      </c>
      <c r="T62" s="363"/>
      <c r="U62" s="356">
        <f t="shared" si="47"/>
        <v>2674200</v>
      </c>
      <c r="V62" s="357"/>
      <c r="W62" s="365">
        <f t="shared" si="57"/>
        <v>222850</v>
      </c>
      <c r="X62" s="366">
        <f t="shared" si="51"/>
        <v>120340</v>
      </c>
      <c r="Y62" s="366">
        <f t="shared" si="52"/>
        <v>89190</v>
      </c>
      <c r="Z62" s="366">
        <f t="shared" si="53"/>
        <v>9150</v>
      </c>
      <c r="AA62" s="366">
        <f t="shared" si="54"/>
        <v>28080</v>
      </c>
      <c r="AB62" s="366">
        <f t="shared" si="55"/>
        <v>21210</v>
      </c>
      <c r="AC62" s="367">
        <f t="shared" si="48"/>
        <v>490820</v>
      </c>
    </row>
    <row r="63" spans="1:29" s="332" customFormat="1" ht="16.5" customHeight="1">
      <c r="A63" s="1037"/>
      <c r="B63" s="353"/>
      <c r="C63" s="353"/>
      <c r="D63" s="353"/>
      <c r="E63" s="368" t="s">
        <v>61</v>
      </c>
      <c r="F63" s="363">
        <f>F59</f>
        <v>2286000</v>
      </c>
      <c r="G63" s="363"/>
      <c r="H63" s="363"/>
      <c r="I63" s="363"/>
      <c r="J63" s="363"/>
      <c r="K63" s="363"/>
      <c r="L63" s="363"/>
      <c r="M63" s="363"/>
      <c r="N63" s="363"/>
      <c r="O63" s="363">
        <f t="shared" si="49"/>
        <v>60000</v>
      </c>
      <c r="P63" s="363"/>
      <c r="Q63" s="363">
        <f t="shared" si="50"/>
        <v>16410</v>
      </c>
      <c r="R63" s="363">
        <f t="shared" si="56"/>
        <v>328200</v>
      </c>
      <c r="S63" s="363">
        <v>0</v>
      </c>
      <c r="T63" s="363"/>
      <c r="U63" s="356">
        <f t="shared" si="47"/>
        <v>2674200</v>
      </c>
      <c r="V63" s="357"/>
      <c r="W63" s="365">
        <f t="shared" si="57"/>
        <v>222850</v>
      </c>
      <c r="X63" s="366">
        <f t="shared" si="51"/>
        <v>120340</v>
      </c>
      <c r="Y63" s="366">
        <f t="shared" si="52"/>
        <v>89190</v>
      </c>
      <c r="Z63" s="366">
        <f t="shared" si="53"/>
        <v>9150</v>
      </c>
      <c r="AA63" s="366">
        <f t="shared" si="54"/>
        <v>28080</v>
      </c>
      <c r="AB63" s="366">
        <f t="shared" si="55"/>
        <v>21210</v>
      </c>
      <c r="AC63" s="367">
        <f t="shared" si="48"/>
        <v>490820</v>
      </c>
    </row>
    <row r="64" spans="1:29" s="332" customFormat="1" ht="16.5" customHeight="1">
      <c r="A64" s="1037"/>
      <c r="B64" s="353"/>
      <c r="C64" s="353"/>
      <c r="D64" s="353"/>
      <c r="E64" s="368" t="s">
        <v>156</v>
      </c>
      <c r="F64" s="363">
        <f>F59</f>
        <v>2286000</v>
      </c>
      <c r="G64" s="363"/>
      <c r="H64" s="363"/>
      <c r="I64" s="363"/>
      <c r="J64" s="363"/>
      <c r="K64" s="363"/>
      <c r="L64" s="363"/>
      <c r="M64" s="363"/>
      <c r="N64" s="363"/>
      <c r="O64" s="363">
        <f t="shared" si="49"/>
        <v>60000</v>
      </c>
      <c r="P64" s="363"/>
      <c r="Q64" s="363">
        <f t="shared" si="50"/>
        <v>16410</v>
      </c>
      <c r="R64" s="363">
        <f t="shared" si="56"/>
        <v>328200</v>
      </c>
      <c r="S64" s="363">
        <v>0</v>
      </c>
      <c r="T64" s="363"/>
      <c r="U64" s="356">
        <f t="shared" si="47"/>
        <v>2674200</v>
      </c>
      <c r="V64" s="357"/>
      <c r="W64" s="365">
        <f t="shared" si="57"/>
        <v>222850</v>
      </c>
      <c r="X64" s="366">
        <f t="shared" si="51"/>
        <v>120340</v>
      </c>
      <c r="Y64" s="366">
        <f t="shared" si="52"/>
        <v>89190</v>
      </c>
      <c r="Z64" s="366">
        <f t="shared" si="53"/>
        <v>9150</v>
      </c>
      <c r="AA64" s="366">
        <f t="shared" si="54"/>
        <v>28080</v>
      </c>
      <c r="AB64" s="366">
        <f t="shared" si="55"/>
        <v>21210</v>
      </c>
      <c r="AC64" s="367">
        <f t="shared" si="48"/>
        <v>490820</v>
      </c>
    </row>
    <row r="65" spans="1:29" s="332" customFormat="1" ht="16.5" customHeight="1">
      <c r="A65" s="1037"/>
      <c r="B65" s="353"/>
      <c r="C65" s="353"/>
      <c r="D65" s="353"/>
      <c r="E65" s="368" t="s">
        <v>136</v>
      </c>
      <c r="F65" s="363">
        <f>F59</f>
        <v>2286000</v>
      </c>
      <c r="G65" s="363"/>
      <c r="H65" s="364"/>
      <c r="I65" s="363"/>
      <c r="J65" s="363"/>
      <c r="K65" s="363"/>
      <c r="L65" s="363"/>
      <c r="M65" s="363"/>
      <c r="N65" s="363"/>
      <c r="O65" s="363">
        <f t="shared" si="49"/>
        <v>60000</v>
      </c>
      <c r="P65" s="363"/>
      <c r="Q65" s="363">
        <f t="shared" si="50"/>
        <v>16410</v>
      </c>
      <c r="R65" s="363">
        <f t="shared" si="56"/>
        <v>328200</v>
      </c>
      <c r="S65" s="363">
        <v>0</v>
      </c>
      <c r="T65" s="363"/>
      <c r="U65" s="356">
        <f t="shared" si="47"/>
        <v>2674200</v>
      </c>
      <c r="V65" s="357"/>
      <c r="W65" s="365">
        <f t="shared" si="57"/>
        <v>222850</v>
      </c>
      <c r="X65" s="366">
        <f t="shared" si="51"/>
        <v>120340</v>
      </c>
      <c r="Y65" s="366">
        <f t="shared" si="52"/>
        <v>89190</v>
      </c>
      <c r="Z65" s="366">
        <f t="shared" si="53"/>
        <v>9150</v>
      </c>
      <c r="AA65" s="366">
        <f t="shared" si="54"/>
        <v>28080</v>
      </c>
      <c r="AB65" s="366">
        <f t="shared" si="55"/>
        <v>21210</v>
      </c>
      <c r="AC65" s="367">
        <f t="shared" si="48"/>
        <v>490820</v>
      </c>
    </row>
    <row r="66" spans="1:29" s="332" customFormat="1" ht="16.5" customHeight="1">
      <c r="A66" s="1037"/>
      <c r="B66" s="353"/>
      <c r="C66" s="353"/>
      <c r="D66" s="353"/>
      <c r="E66" s="368" t="s">
        <v>84</v>
      </c>
      <c r="F66" s="363">
        <f>F59</f>
        <v>2286000</v>
      </c>
      <c r="G66" s="363"/>
      <c r="H66" s="363"/>
      <c r="I66" s="363"/>
      <c r="J66" s="363"/>
      <c r="K66" s="363"/>
      <c r="L66" s="363"/>
      <c r="M66" s="363"/>
      <c r="N66" s="363"/>
      <c r="O66" s="363">
        <f t="shared" si="49"/>
        <v>60000</v>
      </c>
      <c r="P66" s="363"/>
      <c r="Q66" s="363">
        <f t="shared" si="50"/>
        <v>16410</v>
      </c>
      <c r="R66" s="363">
        <f t="shared" si="56"/>
        <v>328200</v>
      </c>
      <c r="S66" s="363">
        <v>0</v>
      </c>
      <c r="T66" s="363"/>
      <c r="U66" s="356">
        <f>SUM(F66,M66,O66,R66,T66,S66)</f>
        <v>2674200</v>
      </c>
      <c r="V66" s="357"/>
      <c r="W66" s="365">
        <f t="shared" si="57"/>
        <v>222850</v>
      </c>
      <c r="X66" s="366">
        <f t="shared" si="51"/>
        <v>120340</v>
      </c>
      <c r="Y66" s="366">
        <f t="shared" si="52"/>
        <v>89190</v>
      </c>
      <c r="Z66" s="366">
        <f t="shared" si="53"/>
        <v>9150</v>
      </c>
      <c r="AA66" s="366">
        <f t="shared" si="54"/>
        <v>28080</v>
      </c>
      <c r="AB66" s="366">
        <f t="shared" si="55"/>
        <v>21210</v>
      </c>
      <c r="AC66" s="367">
        <f t="shared" si="48"/>
        <v>490820</v>
      </c>
    </row>
    <row r="67" spans="1:29" s="332" customFormat="1" ht="16.5" customHeight="1">
      <c r="A67" s="1037"/>
      <c r="B67" s="353"/>
      <c r="C67" s="353"/>
      <c r="D67" s="353"/>
      <c r="E67" s="368" t="s">
        <v>67</v>
      </c>
      <c r="F67" s="363">
        <f>F59</f>
        <v>2286000</v>
      </c>
      <c r="G67" s="363"/>
      <c r="H67" s="363"/>
      <c r="I67" s="363"/>
      <c r="J67" s="363"/>
      <c r="K67" s="363"/>
      <c r="L67" s="363"/>
      <c r="M67" s="363">
        <f>F67*60%</f>
        <v>1371600</v>
      </c>
      <c r="N67" s="363"/>
      <c r="O67" s="363">
        <f t="shared" si="49"/>
        <v>60000</v>
      </c>
      <c r="P67" s="363"/>
      <c r="Q67" s="363">
        <f t="shared" si="50"/>
        <v>16410</v>
      </c>
      <c r="R67" s="363">
        <f t="shared" si="56"/>
        <v>328200</v>
      </c>
      <c r="S67" s="363">
        <v>0</v>
      </c>
      <c r="T67" s="363"/>
      <c r="U67" s="356">
        <f>SUM(F67,M67,O67,R67,T67,S67)</f>
        <v>4045800</v>
      </c>
      <c r="V67" s="357"/>
      <c r="W67" s="365">
        <f t="shared" si="57"/>
        <v>337150</v>
      </c>
      <c r="X67" s="366">
        <f t="shared" si="51"/>
        <v>182060</v>
      </c>
      <c r="Y67" s="366">
        <f t="shared" si="52"/>
        <v>134930</v>
      </c>
      <c r="Z67" s="366">
        <f t="shared" si="53"/>
        <v>13840</v>
      </c>
      <c r="AA67" s="366">
        <f t="shared" si="54"/>
        <v>42480</v>
      </c>
      <c r="AB67" s="366">
        <f t="shared" si="55"/>
        <v>32080</v>
      </c>
      <c r="AC67" s="367">
        <f t="shared" si="48"/>
        <v>742540</v>
      </c>
    </row>
    <row r="68" spans="1:29" s="332" customFormat="1" ht="16.5" customHeight="1">
      <c r="A68" s="1037"/>
      <c r="B68" s="353"/>
      <c r="C68" s="353"/>
      <c r="D68" s="353"/>
      <c r="E68" s="368" t="s">
        <v>54</v>
      </c>
      <c r="F68" s="363">
        <f>F59</f>
        <v>2286000</v>
      </c>
      <c r="G68" s="363"/>
      <c r="H68" s="363"/>
      <c r="I68" s="363"/>
      <c r="J68" s="363"/>
      <c r="K68" s="363"/>
      <c r="L68" s="363"/>
      <c r="M68" s="363"/>
      <c r="N68" s="363"/>
      <c r="O68" s="363">
        <f t="shared" si="49"/>
        <v>60000</v>
      </c>
      <c r="P68" s="363"/>
      <c r="Q68" s="363">
        <f t="shared" si="50"/>
        <v>16410</v>
      </c>
      <c r="R68" s="363">
        <f t="shared" si="56"/>
        <v>328200</v>
      </c>
      <c r="S68" s="363">
        <v>0</v>
      </c>
      <c r="T68" s="363"/>
      <c r="U68" s="356">
        <f t="shared" si="47"/>
        <v>2674200</v>
      </c>
      <c r="V68" s="357"/>
      <c r="W68" s="365">
        <f t="shared" si="57"/>
        <v>222850</v>
      </c>
      <c r="X68" s="366">
        <f t="shared" si="51"/>
        <v>120340</v>
      </c>
      <c r="Y68" s="366">
        <f t="shared" si="52"/>
        <v>89190</v>
      </c>
      <c r="Z68" s="366">
        <f t="shared" si="53"/>
        <v>9150</v>
      </c>
      <c r="AA68" s="366">
        <f t="shared" si="54"/>
        <v>28080</v>
      </c>
      <c r="AB68" s="366">
        <f t="shared" si="55"/>
        <v>21210</v>
      </c>
      <c r="AC68" s="367">
        <f t="shared" si="48"/>
        <v>490820</v>
      </c>
    </row>
    <row r="69" spans="1:29" s="332" customFormat="1" ht="16.5" customHeight="1">
      <c r="A69" s="1037"/>
      <c r="B69" s="353"/>
      <c r="C69" s="353"/>
      <c r="D69" s="353"/>
      <c r="E69" s="368" t="s">
        <v>55</v>
      </c>
      <c r="F69" s="363">
        <f>F68</f>
        <v>2286000</v>
      </c>
      <c r="G69" s="363"/>
      <c r="H69" s="363"/>
      <c r="I69" s="363"/>
      <c r="J69" s="363"/>
      <c r="K69" s="363"/>
      <c r="L69" s="363"/>
      <c r="M69" s="363"/>
      <c r="N69" s="363"/>
      <c r="O69" s="363">
        <f t="shared" si="49"/>
        <v>60000</v>
      </c>
      <c r="P69" s="363"/>
      <c r="Q69" s="363">
        <f t="shared" si="50"/>
        <v>16410</v>
      </c>
      <c r="R69" s="363">
        <f t="shared" si="56"/>
        <v>328200</v>
      </c>
      <c r="S69" s="363">
        <v>0</v>
      </c>
      <c r="T69" s="363"/>
      <c r="U69" s="356">
        <f t="shared" si="47"/>
        <v>2674200</v>
      </c>
      <c r="V69" s="357"/>
      <c r="W69" s="365">
        <f t="shared" si="57"/>
        <v>222850</v>
      </c>
      <c r="X69" s="366">
        <f t="shared" si="51"/>
        <v>120340</v>
      </c>
      <c r="Y69" s="366">
        <f t="shared" si="52"/>
        <v>89190</v>
      </c>
      <c r="Z69" s="366">
        <f t="shared" si="53"/>
        <v>9150</v>
      </c>
      <c r="AA69" s="366">
        <f t="shared" si="54"/>
        <v>28080</v>
      </c>
      <c r="AB69" s="366">
        <f t="shared" si="55"/>
        <v>21210</v>
      </c>
      <c r="AC69" s="367">
        <f t="shared" si="48"/>
        <v>490820</v>
      </c>
    </row>
    <row r="70" spans="1:29" s="332" customFormat="1" ht="16.5" customHeight="1">
      <c r="A70" s="1037"/>
      <c r="B70" s="353"/>
      <c r="C70" s="353"/>
      <c r="D70" s="353"/>
      <c r="E70" s="368" t="s">
        <v>179</v>
      </c>
      <c r="F70" s="363">
        <f>F69</f>
        <v>2286000</v>
      </c>
      <c r="G70" s="363"/>
      <c r="H70" s="363"/>
      <c r="I70" s="363"/>
      <c r="J70" s="363"/>
      <c r="K70" s="363"/>
      <c r="L70" s="363"/>
      <c r="M70" s="363"/>
      <c r="N70" s="363"/>
      <c r="O70" s="363">
        <f t="shared" si="49"/>
        <v>60000</v>
      </c>
      <c r="P70" s="363"/>
      <c r="Q70" s="363">
        <f t="shared" si="50"/>
        <v>16410</v>
      </c>
      <c r="R70" s="363">
        <f>Q70*20*2</f>
        <v>656400</v>
      </c>
      <c r="S70" s="363">
        <v>0</v>
      </c>
      <c r="T70" s="363"/>
      <c r="U70" s="356">
        <f t="shared" si="47"/>
        <v>3002400</v>
      </c>
      <c r="V70" s="357"/>
      <c r="W70" s="365">
        <f t="shared" si="57"/>
        <v>250200</v>
      </c>
      <c r="X70" s="366">
        <f t="shared" si="51"/>
        <v>135110</v>
      </c>
      <c r="Y70" s="366">
        <f t="shared" si="52"/>
        <v>100140</v>
      </c>
      <c r="Z70" s="366">
        <f t="shared" si="53"/>
        <v>10270</v>
      </c>
      <c r="AA70" s="366">
        <f t="shared" si="54"/>
        <v>31530</v>
      </c>
      <c r="AB70" s="366">
        <f t="shared" si="55"/>
        <v>23810</v>
      </c>
      <c r="AC70" s="367">
        <f t="shared" si="48"/>
        <v>551060</v>
      </c>
    </row>
    <row r="71" spans="1:29" s="332" customFormat="1" ht="16.5" customHeight="1">
      <c r="A71" s="1037">
        <v>6</v>
      </c>
      <c r="B71" s="353" t="s">
        <v>325</v>
      </c>
      <c r="C71" s="353">
        <v>5</v>
      </c>
      <c r="D71" s="353">
        <v>1</v>
      </c>
      <c r="E71" s="355" t="s">
        <v>164</v>
      </c>
      <c r="F71" s="371">
        <f t="shared" ref="F71:P71" si="58">SUM(F72:F83)</f>
        <v>27432000</v>
      </c>
      <c r="G71" s="356">
        <f t="shared" si="58"/>
        <v>0</v>
      </c>
      <c r="H71" s="356">
        <f t="shared" si="58"/>
        <v>0</v>
      </c>
      <c r="I71" s="356">
        <f t="shared" si="58"/>
        <v>0</v>
      </c>
      <c r="J71" s="356">
        <f t="shared" si="58"/>
        <v>0</v>
      </c>
      <c r="K71" s="356">
        <f t="shared" si="58"/>
        <v>0</v>
      </c>
      <c r="L71" s="356">
        <f t="shared" si="58"/>
        <v>0</v>
      </c>
      <c r="M71" s="356">
        <f t="shared" si="58"/>
        <v>2743200</v>
      </c>
      <c r="N71" s="356">
        <f t="shared" si="58"/>
        <v>0</v>
      </c>
      <c r="O71" s="356">
        <f t="shared" si="58"/>
        <v>720000</v>
      </c>
      <c r="P71" s="356">
        <f t="shared" si="58"/>
        <v>0</v>
      </c>
      <c r="Q71" s="356"/>
      <c r="R71" s="356">
        <f>SUM(R72:R83)</f>
        <v>3938400</v>
      </c>
      <c r="S71" s="356">
        <f>SUM(S72:S83)</f>
        <v>0</v>
      </c>
      <c r="T71" s="356">
        <f>SUM(T72:T83)</f>
        <v>0</v>
      </c>
      <c r="U71" s="356">
        <f>SUM(U72:U83)</f>
        <v>34833600</v>
      </c>
      <c r="V71" s="357"/>
      <c r="W71" s="358">
        <f t="shared" ref="W71:AB71" si="59">SUM(W72:W83)</f>
        <v>2902800</v>
      </c>
      <c r="X71" s="356">
        <f t="shared" si="59"/>
        <v>1567520</v>
      </c>
      <c r="Y71" s="356">
        <f t="shared" si="59"/>
        <v>1161760</v>
      </c>
      <c r="Z71" s="356">
        <f t="shared" si="59"/>
        <v>119170</v>
      </c>
      <c r="AA71" s="356">
        <f t="shared" si="59"/>
        <v>365760</v>
      </c>
      <c r="AB71" s="356">
        <f t="shared" si="59"/>
        <v>276250</v>
      </c>
      <c r="AC71" s="359">
        <f>SUM(AC72:AC83)</f>
        <v>6393260</v>
      </c>
    </row>
    <row r="72" spans="1:29" s="332" customFormat="1" ht="16.5" customHeight="1">
      <c r="A72" s="1037"/>
      <c r="B72" s="353" t="s">
        <v>157</v>
      </c>
      <c r="C72" s="353">
        <v>5</v>
      </c>
      <c r="D72" s="353"/>
      <c r="E72" s="368" t="s">
        <v>94</v>
      </c>
      <c r="F72" s="363">
        <v>2286000</v>
      </c>
      <c r="G72" s="363"/>
      <c r="H72" s="364"/>
      <c r="I72" s="363"/>
      <c r="J72" s="363"/>
      <c r="K72" s="363"/>
      <c r="L72" s="363"/>
      <c r="M72" s="363" t="s">
        <v>58</v>
      </c>
      <c r="N72" s="363"/>
      <c r="O72" s="363">
        <v>60000</v>
      </c>
      <c r="P72" s="363"/>
      <c r="Q72" s="363"/>
      <c r="R72" s="363"/>
      <c r="S72" s="363"/>
      <c r="T72" s="363"/>
      <c r="U72" s="356">
        <f t="shared" ref="U72:U83" si="60">SUM(F72,M72,O72,R72,T72,S72)</f>
        <v>2346000</v>
      </c>
      <c r="V72" s="357"/>
      <c r="W72" s="365">
        <f>ROUNDUP(U72*1/12,-1)</f>
        <v>195500</v>
      </c>
      <c r="X72" s="366">
        <f>ROUND(U72*4.5%,-1)</f>
        <v>105570</v>
      </c>
      <c r="Y72" s="366">
        <f>ROUNDUP((U72-L72)*6.67%*1/2,-1)</f>
        <v>78240</v>
      </c>
      <c r="Z72" s="366">
        <f>ROUNDUP(Y72*10.25%,-1)</f>
        <v>8020</v>
      </c>
      <c r="AA72" s="366">
        <f>ROUND(U72*1.05%,-1)</f>
        <v>24630</v>
      </c>
      <c r="AB72" s="366">
        <f>ROUND(U72*0.793%,-1)</f>
        <v>18600</v>
      </c>
      <c r="AC72" s="367">
        <f t="shared" ref="AC72:AC83" si="61">SUM(W72:AB72)</f>
        <v>430560</v>
      </c>
    </row>
    <row r="73" spans="1:29" s="332" customFormat="1" ht="16.5" customHeight="1">
      <c r="A73" s="1037"/>
      <c r="B73" s="353"/>
      <c r="C73" s="353"/>
      <c r="D73" s="353"/>
      <c r="E73" s="368" t="s">
        <v>150</v>
      </c>
      <c r="F73" s="363">
        <f>F72</f>
        <v>2286000</v>
      </c>
      <c r="G73" s="363"/>
      <c r="H73" s="363"/>
      <c r="I73" s="363"/>
      <c r="J73" s="363"/>
      <c r="K73" s="363"/>
      <c r="L73" s="363"/>
      <c r="M73" s="363">
        <f>F73*60%</f>
        <v>1371600</v>
      </c>
      <c r="N73" s="363"/>
      <c r="O73" s="363">
        <f>O72</f>
        <v>60000</v>
      </c>
      <c r="P73" s="363"/>
      <c r="Q73" s="363">
        <f t="shared" ref="Q73:Q83" si="62">ROUND((F72+T72)*1/209*1.5,-1)</f>
        <v>16410</v>
      </c>
      <c r="R73" s="363">
        <f>Q73*20</f>
        <v>328200</v>
      </c>
      <c r="S73" s="363">
        <v>0</v>
      </c>
      <c r="T73" s="363"/>
      <c r="U73" s="356">
        <f t="shared" si="60"/>
        <v>4045800</v>
      </c>
      <c r="V73" s="357"/>
      <c r="W73" s="365">
        <f>ROUNDUP((T73+U73)*1/12,-1)</f>
        <v>337150</v>
      </c>
      <c r="X73" s="366">
        <f t="shared" ref="X73:X83" si="63">ROUND(U73*4.5%,-1)</f>
        <v>182060</v>
      </c>
      <c r="Y73" s="366">
        <f t="shared" ref="Y73:Y83" si="64">ROUNDUP((U73-L73)*6.67%*1/2,-1)</f>
        <v>134930</v>
      </c>
      <c r="Z73" s="366">
        <f t="shared" ref="Z73:Z83" si="65">ROUNDUP(Y73*10.25%,-1)</f>
        <v>13840</v>
      </c>
      <c r="AA73" s="366">
        <f t="shared" ref="AA73:AA83" si="66">ROUND(U73*1.05%,-1)</f>
        <v>42480</v>
      </c>
      <c r="AB73" s="366">
        <f t="shared" ref="AB73:AB83" si="67">ROUND(U73*0.793%,-1)</f>
        <v>32080</v>
      </c>
      <c r="AC73" s="367">
        <f t="shared" si="61"/>
        <v>742540</v>
      </c>
    </row>
    <row r="74" spans="1:29" s="332" customFormat="1" ht="16.5" customHeight="1">
      <c r="A74" s="1037"/>
      <c r="B74" s="353"/>
      <c r="C74" s="353"/>
      <c r="D74" s="353"/>
      <c r="E74" s="368" t="s">
        <v>82</v>
      </c>
      <c r="F74" s="363">
        <f>F73</f>
        <v>2286000</v>
      </c>
      <c r="G74" s="363"/>
      <c r="H74" s="363"/>
      <c r="I74" s="363"/>
      <c r="J74" s="363"/>
      <c r="K74" s="363"/>
      <c r="L74" s="363"/>
      <c r="M74" s="363"/>
      <c r="N74" s="363"/>
      <c r="O74" s="363">
        <f t="shared" ref="O74:O83" si="68">O73</f>
        <v>60000</v>
      </c>
      <c r="P74" s="363"/>
      <c r="Q74" s="363">
        <f t="shared" si="62"/>
        <v>16410</v>
      </c>
      <c r="R74" s="363">
        <f t="shared" ref="R74:R82" si="69">Q74*20</f>
        <v>328200</v>
      </c>
      <c r="S74" s="363">
        <v>0</v>
      </c>
      <c r="T74" s="363"/>
      <c r="U74" s="356">
        <f t="shared" si="60"/>
        <v>2674200</v>
      </c>
      <c r="V74" s="357"/>
      <c r="W74" s="365">
        <f t="shared" ref="W74:W83" si="70">ROUNDUP(U74*1/12,-1)</f>
        <v>222850</v>
      </c>
      <c r="X74" s="366">
        <f t="shared" si="63"/>
        <v>120340</v>
      </c>
      <c r="Y74" s="366">
        <f t="shared" si="64"/>
        <v>89190</v>
      </c>
      <c r="Z74" s="366">
        <f t="shared" si="65"/>
        <v>9150</v>
      </c>
      <c r="AA74" s="366">
        <f t="shared" si="66"/>
        <v>28080</v>
      </c>
      <c r="AB74" s="366">
        <f t="shared" si="67"/>
        <v>21210</v>
      </c>
      <c r="AC74" s="367">
        <f t="shared" si="61"/>
        <v>490820</v>
      </c>
    </row>
    <row r="75" spans="1:29" s="332" customFormat="1" ht="16.5" customHeight="1">
      <c r="A75" s="1037"/>
      <c r="B75" s="353"/>
      <c r="C75" s="353"/>
      <c r="D75" s="353"/>
      <c r="E75" s="368" t="s">
        <v>159</v>
      </c>
      <c r="F75" s="363">
        <f>F74</f>
        <v>2286000</v>
      </c>
      <c r="G75" s="363"/>
      <c r="H75" s="363"/>
      <c r="I75" s="363"/>
      <c r="J75" s="363"/>
      <c r="K75" s="363"/>
      <c r="L75" s="363"/>
      <c r="M75" s="363"/>
      <c r="N75" s="363"/>
      <c r="O75" s="363">
        <f t="shared" si="68"/>
        <v>60000</v>
      </c>
      <c r="P75" s="363"/>
      <c r="Q75" s="363">
        <f t="shared" si="62"/>
        <v>16410</v>
      </c>
      <c r="R75" s="363">
        <f t="shared" si="69"/>
        <v>328200</v>
      </c>
      <c r="S75" s="363">
        <v>0</v>
      </c>
      <c r="T75" s="363"/>
      <c r="U75" s="356">
        <f t="shared" si="60"/>
        <v>2674200</v>
      </c>
      <c r="V75" s="357"/>
      <c r="W75" s="365">
        <f t="shared" si="70"/>
        <v>222850</v>
      </c>
      <c r="X75" s="366">
        <f t="shared" si="63"/>
        <v>120340</v>
      </c>
      <c r="Y75" s="366">
        <f t="shared" si="64"/>
        <v>89190</v>
      </c>
      <c r="Z75" s="366">
        <f t="shared" si="65"/>
        <v>9150</v>
      </c>
      <c r="AA75" s="366">
        <f t="shared" si="66"/>
        <v>28080</v>
      </c>
      <c r="AB75" s="366">
        <f t="shared" si="67"/>
        <v>21210</v>
      </c>
      <c r="AC75" s="367">
        <f t="shared" si="61"/>
        <v>490820</v>
      </c>
    </row>
    <row r="76" spans="1:29" s="332" customFormat="1" ht="16.5" customHeight="1">
      <c r="A76" s="1037"/>
      <c r="B76" s="353"/>
      <c r="C76" s="353"/>
      <c r="D76" s="353"/>
      <c r="E76" s="368" t="s">
        <v>61</v>
      </c>
      <c r="F76" s="363">
        <f t="shared" ref="F76:F83" si="71">F75</f>
        <v>2286000</v>
      </c>
      <c r="G76" s="363"/>
      <c r="H76" s="363"/>
      <c r="I76" s="363"/>
      <c r="J76" s="363"/>
      <c r="K76" s="363"/>
      <c r="L76" s="363"/>
      <c r="M76" s="363"/>
      <c r="N76" s="363"/>
      <c r="O76" s="363">
        <f t="shared" si="68"/>
        <v>60000</v>
      </c>
      <c r="P76" s="363"/>
      <c r="Q76" s="363">
        <f t="shared" si="62"/>
        <v>16410</v>
      </c>
      <c r="R76" s="363">
        <f t="shared" si="69"/>
        <v>328200</v>
      </c>
      <c r="S76" s="363">
        <v>0</v>
      </c>
      <c r="T76" s="363"/>
      <c r="U76" s="356">
        <f t="shared" si="60"/>
        <v>2674200</v>
      </c>
      <c r="V76" s="357"/>
      <c r="W76" s="365">
        <f t="shared" si="70"/>
        <v>222850</v>
      </c>
      <c r="X76" s="366">
        <f t="shared" si="63"/>
        <v>120340</v>
      </c>
      <c r="Y76" s="366">
        <f t="shared" si="64"/>
        <v>89190</v>
      </c>
      <c r="Z76" s="366">
        <f t="shared" si="65"/>
        <v>9150</v>
      </c>
      <c r="AA76" s="366">
        <f t="shared" si="66"/>
        <v>28080</v>
      </c>
      <c r="AB76" s="366">
        <f t="shared" si="67"/>
        <v>21210</v>
      </c>
      <c r="AC76" s="367">
        <f t="shared" si="61"/>
        <v>490820</v>
      </c>
    </row>
    <row r="77" spans="1:29" s="332" customFormat="1" ht="16.5" customHeight="1">
      <c r="A77" s="1037"/>
      <c r="B77" s="353"/>
      <c r="C77" s="353"/>
      <c r="D77" s="353"/>
      <c r="E77" s="368" t="s">
        <v>156</v>
      </c>
      <c r="F77" s="363">
        <f t="shared" si="71"/>
        <v>2286000</v>
      </c>
      <c r="G77" s="363"/>
      <c r="H77" s="363"/>
      <c r="I77" s="363"/>
      <c r="J77" s="363"/>
      <c r="K77" s="363"/>
      <c r="L77" s="363"/>
      <c r="M77" s="363"/>
      <c r="N77" s="363"/>
      <c r="O77" s="363">
        <f t="shared" si="68"/>
        <v>60000</v>
      </c>
      <c r="P77" s="363"/>
      <c r="Q77" s="363">
        <f t="shared" si="62"/>
        <v>16410</v>
      </c>
      <c r="R77" s="363">
        <f t="shared" si="69"/>
        <v>328200</v>
      </c>
      <c r="S77" s="363">
        <v>0</v>
      </c>
      <c r="T77" s="363"/>
      <c r="U77" s="356">
        <f t="shared" si="60"/>
        <v>2674200</v>
      </c>
      <c r="V77" s="357"/>
      <c r="W77" s="365">
        <f t="shared" si="70"/>
        <v>222850</v>
      </c>
      <c r="X77" s="366">
        <f t="shared" si="63"/>
        <v>120340</v>
      </c>
      <c r="Y77" s="366">
        <f t="shared" si="64"/>
        <v>89190</v>
      </c>
      <c r="Z77" s="366">
        <f t="shared" si="65"/>
        <v>9150</v>
      </c>
      <c r="AA77" s="366">
        <f t="shared" si="66"/>
        <v>28080</v>
      </c>
      <c r="AB77" s="366">
        <f t="shared" si="67"/>
        <v>21210</v>
      </c>
      <c r="AC77" s="367">
        <f t="shared" si="61"/>
        <v>490820</v>
      </c>
    </row>
    <row r="78" spans="1:29" s="332" customFormat="1" ht="16.5" customHeight="1">
      <c r="A78" s="1037"/>
      <c r="B78" s="353"/>
      <c r="C78" s="353"/>
      <c r="D78" s="353"/>
      <c r="E78" s="368" t="s">
        <v>136</v>
      </c>
      <c r="F78" s="363">
        <f t="shared" si="71"/>
        <v>2286000</v>
      </c>
      <c r="G78" s="363"/>
      <c r="H78" s="364"/>
      <c r="I78" s="363"/>
      <c r="J78" s="363"/>
      <c r="K78" s="363"/>
      <c r="L78" s="363"/>
      <c r="M78" s="363"/>
      <c r="N78" s="363"/>
      <c r="O78" s="363">
        <f t="shared" si="68"/>
        <v>60000</v>
      </c>
      <c r="P78" s="363"/>
      <c r="Q78" s="363">
        <f t="shared" si="62"/>
        <v>16410</v>
      </c>
      <c r="R78" s="363">
        <f t="shared" si="69"/>
        <v>328200</v>
      </c>
      <c r="S78" s="363">
        <v>0</v>
      </c>
      <c r="T78" s="363"/>
      <c r="U78" s="356">
        <f t="shared" si="60"/>
        <v>2674200</v>
      </c>
      <c r="V78" s="357"/>
      <c r="W78" s="365">
        <f t="shared" si="70"/>
        <v>222850</v>
      </c>
      <c r="X78" s="366">
        <f t="shared" si="63"/>
        <v>120340</v>
      </c>
      <c r="Y78" s="366">
        <f t="shared" si="64"/>
        <v>89190</v>
      </c>
      <c r="Z78" s="366">
        <f t="shared" si="65"/>
        <v>9150</v>
      </c>
      <c r="AA78" s="366">
        <f t="shared" si="66"/>
        <v>28080</v>
      </c>
      <c r="AB78" s="366">
        <f t="shared" si="67"/>
        <v>21210</v>
      </c>
      <c r="AC78" s="367">
        <f t="shared" si="61"/>
        <v>490820</v>
      </c>
    </row>
    <row r="79" spans="1:29" s="332" customFormat="1" ht="16.5" customHeight="1">
      <c r="A79" s="1037"/>
      <c r="B79" s="353"/>
      <c r="C79" s="353"/>
      <c r="D79" s="353"/>
      <c r="E79" s="368" t="s">
        <v>84</v>
      </c>
      <c r="F79" s="363">
        <f t="shared" si="71"/>
        <v>2286000</v>
      </c>
      <c r="G79" s="363"/>
      <c r="H79" s="363"/>
      <c r="I79" s="363"/>
      <c r="J79" s="363"/>
      <c r="K79" s="363"/>
      <c r="L79" s="363"/>
      <c r="M79" s="363"/>
      <c r="N79" s="363"/>
      <c r="O79" s="363">
        <f t="shared" si="68"/>
        <v>60000</v>
      </c>
      <c r="P79" s="363"/>
      <c r="Q79" s="363">
        <f t="shared" si="62"/>
        <v>16410</v>
      </c>
      <c r="R79" s="363">
        <f t="shared" si="69"/>
        <v>328200</v>
      </c>
      <c r="S79" s="363">
        <v>0</v>
      </c>
      <c r="T79" s="363"/>
      <c r="U79" s="356">
        <f t="shared" si="60"/>
        <v>2674200</v>
      </c>
      <c r="V79" s="357"/>
      <c r="W79" s="365">
        <f t="shared" si="70"/>
        <v>222850</v>
      </c>
      <c r="X79" s="366">
        <f t="shared" si="63"/>
        <v>120340</v>
      </c>
      <c r="Y79" s="366">
        <f t="shared" si="64"/>
        <v>89190</v>
      </c>
      <c r="Z79" s="366">
        <f t="shared" si="65"/>
        <v>9150</v>
      </c>
      <c r="AA79" s="366">
        <f t="shared" si="66"/>
        <v>28080</v>
      </c>
      <c r="AB79" s="366">
        <f t="shared" si="67"/>
        <v>21210</v>
      </c>
      <c r="AC79" s="367">
        <f t="shared" si="61"/>
        <v>490820</v>
      </c>
    </row>
    <row r="80" spans="1:29" s="332" customFormat="1" ht="16.5" customHeight="1">
      <c r="A80" s="1037"/>
      <c r="B80" s="353"/>
      <c r="C80" s="353"/>
      <c r="D80" s="353"/>
      <c r="E80" s="368" t="s">
        <v>67</v>
      </c>
      <c r="F80" s="363">
        <f t="shared" si="71"/>
        <v>2286000</v>
      </c>
      <c r="G80" s="363"/>
      <c r="H80" s="363"/>
      <c r="I80" s="363"/>
      <c r="J80" s="363"/>
      <c r="K80" s="363"/>
      <c r="L80" s="363"/>
      <c r="M80" s="363">
        <f>F80*60%</f>
        <v>1371600</v>
      </c>
      <c r="N80" s="363"/>
      <c r="O80" s="363">
        <f t="shared" si="68"/>
        <v>60000</v>
      </c>
      <c r="P80" s="363"/>
      <c r="Q80" s="363">
        <f t="shared" si="62"/>
        <v>16410</v>
      </c>
      <c r="R80" s="363">
        <f t="shared" si="69"/>
        <v>328200</v>
      </c>
      <c r="S80" s="363">
        <v>0</v>
      </c>
      <c r="T80" s="363"/>
      <c r="U80" s="356">
        <f t="shared" si="60"/>
        <v>4045800</v>
      </c>
      <c r="V80" s="357"/>
      <c r="W80" s="365">
        <f t="shared" si="70"/>
        <v>337150</v>
      </c>
      <c r="X80" s="366">
        <f t="shared" si="63"/>
        <v>182060</v>
      </c>
      <c r="Y80" s="366">
        <f t="shared" si="64"/>
        <v>134930</v>
      </c>
      <c r="Z80" s="366">
        <f t="shared" si="65"/>
        <v>13840</v>
      </c>
      <c r="AA80" s="366">
        <f t="shared" si="66"/>
        <v>42480</v>
      </c>
      <c r="AB80" s="366">
        <f t="shared" si="67"/>
        <v>32080</v>
      </c>
      <c r="AC80" s="367">
        <f t="shared" si="61"/>
        <v>742540</v>
      </c>
    </row>
    <row r="81" spans="1:29" s="332" customFormat="1" ht="16.5" customHeight="1">
      <c r="A81" s="1037"/>
      <c r="B81" s="353"/>
      <c r="C81" s="353"/>
      <c r="D81" s="353"/>
      <c r="E81" s="368" t="s">
        <v>54</v>
      </c>
      <c r="F81" s="363">
        <f t="shared" si="71"/>
        <v>2286000</v>
      </c>
      <c r="G81" s="363"/>
      <c r="H81" s="363"/>
      <c r="I81" s="363"/>
      <c r="J81" s="363"/>
      <c r="K81" s="363"/>
      <c r="L81" s="363"/>
      <c r="M81" s="363"/>
      <c r="N81" s="363"/>
      <c r="O81" s="363">
        <f t="shared" si="68"/>
        <v>60000</v>
      </c>
      <c r="P81" s="363"/>
      <c r="Q81" s="363">
        <f t="shared" si="62"/>
        <v>16410</v>
      </c>
      <c r="R81" s="363">
        <f t="shared" si="69"/>
        <v>328200</v>
      </c>
      <c r="S81" s="363">
        <v>0</v>
      </c>
      <c r="T81" s="363"/>
      <c r="U81" s="356">
        <f t="shared" si="60"/>
        <v>2674200</v>
      </c>
      <c r="V81" s="357"/>
      <c r="W81" s="365">
        <f t="shared" si="70"/>
        <v>222850</v>
      </c>
      <c r="X81" s="366">
        <f t="shared" si="63"/>
        <v>120340</v>
      </c>
      <c r="Y81" s="366">
        <f t="shared" si="64"/>
        <v>89190</v>
      </c>
      <c r="Z81" s="366">
        <f t="shared" si="65"/>
        <v>9150</v>
      </c>
      <c r="AA81" s="366">
        <f t="shared" si="66"/>
        <v>28080</v>
      </c>
      <c r="AB81" s="366">
        <f t="shared" si="67"/>
        <v>21210</v>
      </c>
      <c r="AC81" s="367">
        <f t="shared" si="61"/>
        <v>490820</v>
      </c>
    </row>
    <row r="82" spans="1:29" s="332" customFormat="1" ht="16.5" customHeight="1">
      <c r="A82" s="1037"/>
      <c r="B82" s="353"/>
      <c r="C82" s="353"/>
      <c r="D82" s="353"/>
      <c r="E82" s="368" t="s">
        <v>55</v>
      </c>
      <c r="F82" s="363">
        <f t="shared" si="71"/>
        <v>2286000</v>
      </c>
      <c r="G82" s="363"/>
      <c r="H82" s="363"/>
      <c r="I82" s="363"/>
      <c r="J82" s="363"/>
      <c r="K82" s="363"/>
      <c r="L82" s="363"/>
      <c r="M82" s="363"/>
      <c r="N82" s="363"/>
      <c r="O82" s="363">
        <f t="shared" si="68"/>
        <v>60000</v>
      </c>
      <c r="P82" s="363"/>
      <c r="Q82" s="363">
        <f t="shared" si="62"/>
        <v>16410</v>
      </c>
      <c r="R82" s="363">
        <f t="shared" si="69"/>
        <v>328200</v>
      </c>
      <c r="S82" s="363">
        <v>0</v>
      </c>
      <c r="T82" s="363"/>
      <c r="U82" s="356">
        <f t="shared" si="60"/>
        <v>2674200</v>
      </c>
      <c r="V82" s="357"/>
      <c r="W82" s="365">
        <f t="shared" si="70"/>
        <v>222850</v>
      </c>
      <c r="X82" s="366">
        <f t="shared" si="63"/>
        <v>120340</v>
      </c>
      <c r="Y82" s="366">
        <f t="shared" si="64"/>
        <v>89190</v>
      </c>
      <c r="Z82" s="366">
        <f t="shared" si="65"/>
        <v>9150</v>
      </c>
      <c r="AA82" s="366">
        <f t="shared" si="66"/>
        <v>28080</v>
      </c>
      <c r="AB82" s="366">
        <f t="shared" si="67"/>
        <v>21210</v>
      </c>
      <c r="AC82" s="367">
        <f t="shared" si="61"/>
        <v>490820</v>
      </c>
    </row>
    <row r="83" spans="1:29" s="332" customFormat="1" ht="16.5" customHeight="1">
      <c r="A83" s="1037"/>
      <c r="B83" s="353"/>
      <c r="C83" s="353"/>
      <c r="D83" s="353"/>
      <c r="E83" s="368" t="s">
        <v>179</v>
      </c>
      <c r="F83" s="363">
        <f t="shared" si="71"/>
        <v>2286000</v>
      </c>
      <c r="G83" s="363"/>
      <c r="H83" s="363"/>
      <c r="I83" s="363"/>
      <c r="J83" s="363"/>
      <c r="K83" s="363"/>
      <c r="L83" s="363"/>
      <c r="M83" s="363"/>
      <c r="N83" s="363"/>
      <c r="O83" s="363">
        <f t="shared" si="68"/>
        <v>60000</v>
      </c>
      <c r="P83" s="363"/>
      <c r="Q83" s="363">
        <f t="shared" si="62"/>
        <v>16410</v>
      </c>
      <c r="R83" s="363">
        <f>Q83*20*2</f>
        <v>656400</v>
      </c>
      <c r="S83" s="363">
        <v>0</v>
      </c>
      <c r="T83" s="363"/>
      <c r="U83" s="356">
        <f t="shared" si="60"/>
        <v>3002400</v>
      </c>
      <c r="V83" s="357"/>
      <c r="W83" s="365">
        <f t="shared" si="70"/>
        <v>250200</v>
      </c>
      <c r="X83" s="366">
        <f t="shared" si="63"/>
        <v>135110</v>
      </c>
      <c r="Y83" s="366">
        <f t="shared" si="64"/>
        <v>100140</v>
      </c>
      <c r="Z83" s="366">
        <f t="shared" si="65"/>
        <v>10270</v>
      </c>
      <c r="AA83" s="366">
        <f t="shared" si="66"/>
        <v>31530</v>
      </c>
      <c r="AB83" s="366">
        <f t="shared" si="67"/>
        <v>23810</v>
      </c>
      <c r="AC83" s="367">
        <f t="shared" si="61"/>
        <v>551060</v>
      </c>
    </row>
    <row r="84" spans="1:29" s="332" customFormat="1" ht="16.5" customHeight="1">
      <c r="A84" s="1037">
        <v>7</v>
      </c>
      <c r="B84" s="353" t="s">
        <v>325</v>
      </c>
      <c r="C84" s="353">
        <v>5</v>
      </c>
      <c r="D84" s="353">
        <v>1</v>
      </c>
      <c r="E84" s="355" t="s">
        <v>164</v>
      </c>
      <c r="F84" s="371">
        <f t="shared" ref="F84:N84" si="72">SUM(F85:F96)</f>
        <v>27432000</v>
      </c>
      <c r="G84" s="356">
        <f t="shared" si="72"/>
        <v>0</v>
      </c>
      <c r="H84" s="356">
        <f t="shared" si="72"/>
        <v>0</v>
      </c>
      <c r="I84" s="356">
        <f t="shared" si="72"/>
        <v>0</v>
      </c>
      <c r="J84" s="356">
        <f t="shared" si="72"/>
        <v>0</v>
      </c>
      <c r="K84" s="356">
        <f t="shared" si="72"/>
        <v>0</v>
      </c>
      <c r="L84" s="356">
        <f t="shared" si="72"/>
        <v>0</v>
      </c>
      <c r="M84" s="356">
        <f t="shared" si="72"/>
        <v>2743200</v>
      </c>
      <c r="N84" s="356">
        <f t="shared" si="72"/>
        <v>0</v>
      </c>
      <c r="O84" s="356">
        <f>SUM(O85:O96)</f>
        <v>720000</v>
      </c>
      <c r="P84" s="356">
        <f>SUM(P85:P96)</f>
        <v>0</v>
      </c>
      <c r="Q84" s="356"/>
      <c r="R84" s="356">
        <f>SUM(R85:R96)</f>
        <v>3938400</v>
      </c>
      <c r="S84" s="356">
        <f>SUM(S85:S96)</f>
        <v>0</v>
      </c>
      <c r="T84" s="356">
        <f>SUM(T85:T96)</f>
        <v>0</v>
      </c>
      <c r="U84" s="356">
        <f>SUM(U85:U96)</f>
        <v>34833600</v>
      </c>
      <c r="V84" s="357"/>
      <c r="W84" s="358">
        <f t="shared" ref="W84:AB84" si="73">SUM(W85:W96)</f>
        <v>2902800</v>
      </c>
      <c r="X84" s="356">
        <f t="shared" si="73"/>
        <v>1567520</v>
      </c>
      <c r="Y84" s="356">
        <f t="shared" si="73"/>
        <v>1161760</v>
      </c>
      <c r="Z84" s="356">
        <f t="shared" si="73"/>
        <v>119170</v>
      </c>
      <c r="AA84" s="356">
        <f t="shared" si="73"/>
        <v>365760</v>
      </c>
      <c r="AB84" s="356">
        <f t="shared" si="73"/>
        <v>276250</v>
      </c>
      <c r="AC84" s="359">
        <f>SUM(AC85:AC96)</f>
        <v>6393260</v>
      </c>
    </row>
    <row r="85" spans="1:29" s="332" customFormat="1" ht="16.5" customHeight="1">
      <c r="A85" s="1037"/>
      <c r="B85" s="353" t="s">
        <v>175</v>
      </c>
      <c r="C85" s="353">
        <v>5</v>
      </c>
      <c r="D85" s="353"/>
      <c r="E85" s="368" t="s">
        <v>94</v>
      </c>
      <c r="F85" s="363">
        <v>2286000</v>
      </c>
      <c r="G85" s="363"/>
      <c r="H85" s="364"/>
      <c r="I85" s="363"/>
      <c r="J85" s="363"/>
      <c r="K85" s="363"/>
      <c r="L85" s="363"/>
      <c r="M85" s="363" t="s">
        <v>58</v>
      </c>
      <c r="N85" s="363"/>
      <c r="O85" s="363">
        <v>60000</v>
      </c>
      <c r="P85" s="363"/>
      <c r="Q85" s="363"/>
      <c r="R85" s="363"/>
      <c r="S85" s="363"/>
      <c r="T85" s="363"/>
      <c r="U85" s="356">
        <f t="shared" ref="U85:U96" si="74">SUM(F85,M85,O85,R85,T85,S85)</f>
        <v>2346000</v>
      </c>
      <c r="V85" s="357"/>
      <c r="W85" s="365">
        <f>ROUNDUP(U85*1/12,-1)</f>
        <v>195500</v>
      </c>
      <c r="X85" s="366">
        <f>ROUND(U85*4.5%,-1)</f>
        <v>105570</v>
      </c>
      <c r="Y85" s="366">
        <f>ROUNDUP((U85-L85)*6.67%*1/2,-1)</f>
        <v>78240</v>
      </c>
      <c r="Z85" s="366">
        <f>ROUNDUP(Y85*10.25%,-1)</f>
        <v>8020</v>
      </c>
      <c r="AA85" s="366">
        <f>ROUND(U85*1.05%,-1)</f>
        <v>24630</v>
      </c>
      <c r="AB85" s="366">
        <f>ROUND(U85*0.793%,-1)</f>
        <v>18600</v>
      </c>
      <c r="AC85" s="367">
        <f t="shared" ref="AC85:AC96" si="75">SUM(W85:AB85)</f>
        <v>430560</v>
      </c>
    </row>
    <row r="86" spans="1:29" s="332" customFormat="1" ht="16.5" customHeight="1">
      <c r="A86" s="1037"/>
      <c r="B86" s="353"/>
      <c r="C86" s="353"/>
      <c r="D86" s="353"/>
      <c r="E86" s="368" t="s">
        <v>150</v>
      </c>
      <c r="F86" s="363">
        <f>F85</f>
        <v>2286000</v>
      </c>
      <c r="G86" s="363"/>
      <c r="H86" s="363"/>
      <c r="I86" s="363"/>
      <c r="J86" s="363"/>
      <c r="K86" s="363"/>
      <c r="L86" s="363"/>
      <c r="M86" s="363">
        <f>F86*60%</f>
        <v>1371600</v>
      </c>
      <c r="N86" s="363"/>
      <c r="O86" s="363">
        <f t="shared" ref="O86:O96" si="76">O85</f>
        <v>60000</v>
      </c>
      <c r="P86" s="363"/>
      <c r="Q86" s="363">
        <f t="shared" ref="Q86:Q96" si="77">ROUND((F85+T85)*1/209*1.5,-1)</f>
        <v>16410</v>
      </c>
      <c r="R86" s="363">
        <f>Q86*20</f>
        <v>328200</v>
      </c>
      <c r="S86" s="363">
        <v>0</v>
      </c>
      <c r="T86" s="363"/>
      <c r="U86" s="356">
        <f t="shared" si="74"/>
        <v>4045800</v>
      </c>
      <c r="V86" s="357"/>
      <c r="W86" s="365">
        <f>ROUNDUP((T86+U86)*1/12,-1)</f>
        <v>337150</v>
      </c>
      <c r="X86" s="366">
        <f t="shared" ref="X86:X96" si="78">ROUND(U86*4.5%,-1)</f>
        <v>182060</v>
      </c>
      <c r="Y86" s="366">
        <f t="shared" ref="Y86:Y96" si="79">ROUNDUP((U86-L86)*6.67%*1/2,-1)</f>
        <v>134930</v>
      </c>
      <c r="Z86" s="366">
        <f t="shared" ref="Z86:Z96" si="80">ROUNDUP(Y86*10.25%,-1)</f>
        <v>13840</v>
      </c>
      <c r="AA86" s="366">
        <f t="shared" ref="AA86:AA96" si="81">ROUND(U86*1.05%,-1)</f>
        <v>42480</v>
      </c>
      <c r="AB86" s="366">
        <f t="shared" ref="AB86:AB96" si="82">ROUND(U86*0.793%,-1)</f>
        <v>32080</v>
      </c>
      <c r="AC86" s="367">
        <f t="shared" si="75"/>
        <v>742540</v>
      </c>
    </row>
    <row r="87" spans="1:29" s="332" customFormat="1" ht="16.5" customHeight="1">
      <c r="A87" s="1037"/>
      <c r="B87" s="353"/>
      <c r="C87" s="353"/>
      <c r="D87" s="353"/>
      <c r="E87" s="368" t="s">
        <v>82</v>
      </c>
      <c r="F87" s="363">
        <f>F86</f>
        <v>2286000</v>
      </c>
      <c r="G87" s="363"/>
      <c r="H87" s="363"/>
      <c r="I87" s="363"/>
      <c r="J87" s="363"/>
      <c r="K87" s="363"/>
      <c r="L87" s="363"/>
      <c r="M87" s="363"/>
      <c r="N87" s="363"/>
      <c r="O87" s="363">
        <f t="shared" si="76"/>
        <v>60000</v>
      </c>
      <c r="P87" s="363"/>
      <c r="Q87" s="363">
        <f t="shared" si="77"/>
        <v>16410</v>
      </c>
      <c r="R87" s="363">
        <f t="shared" ref="R87:R95" si="83">Q87*20</f>
        <v>328200</v>
      </c>
      <c r="S87" s="363">
        <v>0</v>
      </c>
      <c r="T87" s="363"/>
      <c r="U87" s="356">
        <f t="shared" si="74"/>
        <v>2674200</v>
      </c>
      <c r="V87" s="357"/>
      <c r="W87" s="365">
        <f t="shared" ref="W87:W96" si="84">ROUNDUP(U87*1/12,-1)</f>
        <v>222850</v>
      </c>
      <c r="X87" s="366">
        <f t="shared" si="78"/>
        <v>120340</v>
      </c>
      <c r="Y87" s="366">
        <f t="shared" si="79"/>
        <v>89190</v>
      </c>
      <c r="Z87" s="366">
        <f t="shared" si="80"/>
        <v>9150</v>
      </c>
      <c r="AA87" s="366">
        <f t="shared" si="81"/>
        <v>28080</v>
      </c>
      <c r="AB87" s="366">
        <f t="shared" si="82"/>
        <v>21210</v>
      </c>
      <c r="AC87" s="367">
        <f t="shared" si="75"/>
        <v>490820</v>
      </c>
    </row>
    <row r="88" spans="1:29" s="332" customFormat="1" ht="16.5" customHeight="1">
      <c r="A88" s="1037"/>
      <c r="B88" s="353"/>
      <c r="C88" s="353"/>
      <c r="D88" s="353"/>
      <c r="E88" s="368" t="s">
        <v>159</v>
      </c>
      <c r="F88" s="363">
        <f>F87</f>
        <v>2286000</v>
      </c>
      <c r="G88" s="363"/>
      <c r="H88" s="363"/>
      <c r="I88" s="363"/>
      <c r="J88" s="363"/>
      <c r="K88" s="363"/>
      <c r="L88" s="363"/>
      <c r="M88" s="363"/>
      <c r="N88" s="363"/>
      <c r="O88" s="363">
        <f t="shared" si="76"/>
        <v>60000</v>
      </c>
      <c r="P88" s="363"/>
      <c r="Q88" s="363">
        <f t="shared" si="77"/>
        <v>16410</v>
      </c>
      <c r="R88" s="363">
        <f t="shared" si="83"/>
        <v>328200</v>
      </c>
      <c r="S88" s="363">
        <v>0</v>
      </c>
      <c r="T88" s="363"/>
      <c r="U88" s="356">
        <f t="shared" si="74"/>
        <v>2674200</v>
      </c>
      <c r="V88" s="357"/>
      <c r="W88" s="365">
        <f t="shared" si="84"/>
        <v>222850</v>
      </c>
      <c r="X88" s="366">
        <f t="shared" si="78"/>
        <v>120340</v>
      </c>
      <c r="Y88" s="366">
        <f t="shared" si="79"/>
        <v>89190</v>
      </c>
      <c r="Z88" s="366">
        <f t="shared" si="80"/>
        <v>9150</v>
      </c>
      <c r="AA88" s="366">
        <f t="shared" si="81"/>
        <v>28080</v>
      </c>
      <c r="AB88" s="366">
        <f t="shared" si="82"/>
        <v>21210</v>
      </c>
      <c r="AC88" s="367">
        <f t="shared" si="75"/>
        <v>490820</v>
      </c>
    </row>
    <row r="89" spans="1:29" s="332" customFormat="1" ht="16.5" customHeight="1">
      <c r="A89" s="1037"/>
      <c r="B89" s="353"/>
      <c r="C89" s="353"/>
      <c r="D89" s="353"/>
      <c r="E89" s="368" t="s">
        <v>61</v>
      </c>
      <c r="F89" s="363">
        <f>F88</f>
        <v>2286000</v>
      </c>
      <c r="G89" s="363"/>
      <c r="H89" s="363"/>
      <c r="I89" s="363"/>
      <c r="J89" s="363"/>
      <c r="K89" s="363"/>
      <c r="L89" s="363"/>
      <c r="M89" s="363"/>
      <c r="N89" s="363"/>
      <c r="O89" s="363">
        <f t="shared" si="76"/>
        <v>60000</v>
      </c>
      <c r="P89" s="363"/>
      <c r="Q89" s="363">
        <f t="shared" si="77"/>
        <v>16410</v>
      </c>
      <c r="R89" s="363">
        <f t="shared" si="83"/>
        <v>328200</v>
      </c>
      <c r="S89" s="363">
        <v>0</v>
      </c>
      <c r="T89" s="363"/>
      <c r="U89" s="356">
        <f t="shared" si="74"/>
        <v>2674200</v>
      </c>
      <c r="V89" s="357"/>
      <c r="W89" s="365">
        <f t="shared" si="84"/>
        <v>222850</v>
      </c>
      <c r="X89" s="366">
        <f t="shared" si="78"/>
        <v>120340</v>
      </c>
      <c r="Y89" s="366">
        <f t="shared" si="79"/>
        <v>89190</v>
      </c>
      <c r="Z89" s="366">
        <f t="shared" si="80"/>
        <v>9150</v>
      </c>
      <c r="AA89" s="366">
        <f t="shared" si="81"/>
        <v>28080</v>
      </c>
      <c r="AB89" s="366">
        <f t="shared" si="82"/>
        <v>21210</v>
      </c>
      <c r="AC89" s="367">
        <f t="shared" si="75"/>
        <v>490820</v>
      </c>
    </row>
    <row r="90" spans="1:29" s="332" customFormat="1" ht="16.5" customHeight="1">
      <c r="A90" s="1037"/>
      <c r="B90" s="353"/>
      <c r="C90" s="353"/>
      <c r="D90" s="353"/>
      <c r="E90" s="368" t="s">
        <v>156</v>
      </c>
      <c r="F90" s="363">
        <f t="shared" ref="F90:F96" si="85">F89</f>
        <v>2286000</v>
      </c>
      <c r="G90" s="363"/>
      <c r="H90" s="363"/>
      <c r="I90" s="363"/>
      <c r="J90" s="363"/>
      <c r="K90" s="363"/>
      <c r="L90" s="363"/>
      <c r="M90" s="363"/>
      <c r="N90" s="363"/>
      <c r="O90" s="363">
        <f t="shared" si="76"/>
        <v>60000</v>
      </c>
      <c r="P90" s="363"/>
      <c r="Q90" s="363">
        <f t="shared" si="77"/>
        <v>16410</v>
      </c>
      <c r="R90" s="363">
        <f t="shared" si="83"/>
        <v>328200</v>
      </c>
      <c r="S90" s="363">
        <v>0</v>
      </c>
      <c r="T90" s="363"/>
      <c r="U90" s="356">
        <f t="shared" si="74"/>
        <v>2674200</v>
      </c>
      <c r="V90" s="357"/>
      <c r="W90" s="365">
        <f t="shared" si="84"/>
        <v>222850</v>
      </c>
      <c r="X90" s="366">
        <f t="shared" si="78"/>
        <v>120340</v>
      </c>
      <c r="Y90" s="366">
        <f t="shared" si="79"/>
        <v>89190</v>
      </c>
      <c r="Z90" s="366">
        <f t="shared" si="80"/>
        <v>9150</v>
      </c>
      <c r="AA90" s="366">
        <f t="shared" si="81"/>
        <v>28080</v>
      </c>
      <c r="AB90" s="366">
        <f t="shared" si="82"/>
        <v>21210</v>
      </c>
      <c r="AC90" s="367">
        <f t="shared" si="75"/>
        <v>490820</v>
      </c>
    </row>
    <row r="91" spans="1:29" s="332" customFormat="1" ht="16.5" customHeight="1">
      <c r="A91" s="1037"/>
      <c r="B91" s="353"/>
      <c r="C91" s="353"/>
      <c r="D91" s="353"/>
      <c r="E91" s="368" t="s">
        <v>136</v>
      </c>
      <c r="F91" s="363">
        <f t="shared" si="85"/>
        <v>2286000</v>
      </c>
      <c r="G91" s="363"/>
      <c r="H91" s="364"/>
      <c r="I91" s="363"/>
      <c r="J91" s="363"/>
      <c r="K91" s="363"/>
      <c r="L91" s="363"/>
      <c r="M91" s="363"/>
      <c r="N91" s="363"/>
      <c r="O91" s="363">
        <f t="shared" si="76"/>
        <v>60000</v>
      </c>
      <c r="P91" s="363"/>
      <c r="Q91" s="363">
        <f t="shared" si="77"/>
        <v>16410</v>
      </c>
      <c r="R91" s="363">
        <f t="shared" si="83"/>
        <v>328200</v>
      </c>
      <c r="S91" s="363">
        <v>0</v>
      </c>
      <c r="T91" s="363"/>
      <c r="U91" s="356">
        <f t="shared" si="74"/>
        <v>2674200</v>
      </c>
      <c r="V91" s="357"/>
      <c r="W91" s="365">
        <f t="shared" si="84"/>
        <v>222850</v>
      </c>
      <c r="X91" s="366">
        <f t="shared" si="78"/>
        <v>120340</v>
      </c>
      <c r="Y91" s="366">
        <f t="shared" si="79"/>
        <v>89190</v>
      </c>
      <c r="Z91" s="366">
        <f t="shared" si="80"/>
        <v>9150</v>
      </c>
      <c r="AA91" s="366">
        <f t="shared" si="81"/>
        <v>28080</v>
      </c>
      <c r="AB91" s="366">
        <f t="shared" si="82"/>
        <v>21210</v>
      </c>
      <c r="AC91" s="367">
        <f t="shared" si="75"/>
        <v>490820</v>
      </c>
    </row>
    <row r="92" spans="1:29" s="332" customFormat="1" ht="16.5" customHeight="1">
      <c r="A92" s="1037"/>
      <c r="B92" s="353"/>
      <c r="C92" s="353"/>
      <c r="D92" s="353"/>
      <c r="E92" s="368" t="s">
        <v>84</v>
      </c>
      <c r="F92" s="363">
        <f t="shared" si="85"/>
        <v>2286000</v>
      </c>
      <c r="G92" s="363"/>
      <c r="H92" s="363"/>
      <c r="I92" s="363"/>
      <c r="J92" s="363"/>
      <c r="K92" s="363"/>
      <c r="L92" s="363"/>
      <c r="M92" s="363"/>
      <c r="N92" s="363"/>
      <c r="O92" s="363">
        <f t="shared" si="76"/>
        <v>60000</v>
      </c>
      <c r="P92" s="363"/>
      <c r="Q92" s="363">
        <f t="shared" si="77"/>
        <v>16410</v>
      </c>
      <c r="R92" s="363">
        <f t="shared" si="83"/>
        <v>328200</v>
      </c>
      <c r="S92" s="363">
        <v>0</v>
      </c>
      <c r="T92" s="363"/>
      <c r="U92" s="356">
        <f t="shared" si="74"/>
        <v>2674200</v>
      </c>
      <c r="V92" s="357"/>
      <c r="W92" s="365">
        <f t="shared" si="84"/>
        <v>222850</v>
      </c>
      <c r="X92" s="366">
        <f t="shared" si="78"/>
        <v>120340</v>
      </c>
      <c r="Y92" s="366">
        <f t="shared" si="79"/>
        <v>89190</v>
      </c>
      <c r="Z92" s="366">
        <f t="shared" si="80"/>
        <v>9150</v>
      </c>
      <c r="AA92" s="366">
        <f t="shared" si="81"/>
        <v>28080</v>
      </c>
      <c r="AB92" s="366">
        <f t="shared" si="82"/>
        <v>21210</v>
      </c>
      <c r="AC92" s="367">
        <f t="shared" si="75"/>
        <v>490820</v>
      </c>
    </row>
    <row r="93" spans="1:29" s="332" customFormat="1" ht="16.5" customHeight="1">
      <c r="A93" s="1037"/>
      <c r="B93" s="353"/>
      <c r="C93" s="353"/>
      <c r="D93" s="353"/>
      <c r="E93" s="368" t="s">
        <v>67</v>
      </c>
      <c r="F93" s="363">
        <f t="shared" si="85"/>
        <v>2286000</v>
      </c>
      <c r="G93" s="363"/>
      <c r="H93" s="363"/>
      <c r="I93" s="363"/>
      <c r="J93" s="363"/>
      <c r="K93" s="363"/>
      <c r="L93" s="363"/>
      <c r="M93" s="363">
        <f>F93*60%</f>
        <v>1371600</v>
      </c>
      <c r="N93" s="363"/>
      <c r="O93" s="363">
        <f t="shared" si="76"/>
        <v>60000</v>
      </c>
      <c r="P93" s="363"/>
      <c r="Q93" s="363">
        <f t="shared" si="77"/>
        <v>16410</v>
      </c>
      <c r="R93" s="363">
        <f t="shared" si="83"/>
        <v>328200</v>
      </c>
      <c r="S93" s="363">
        <v>0</v>
      </c>
      <c r="T93" s="363"/>
      <c r="U93" s="356">
        <f t="shared" si="74"/>
        <v>4045800</v>
      </c>
      <c r="V93" s="357"/>
      <c r="W93" s="365">
        <f t="shared" si="84"/>
        <v>337150</v>
      </c>
      <c r="X93" s="366">
        <f t="shared" si="78"/>
        <v>182060</v>
      </c>
      <c r="Y93" s="366">
        <f t="shared" si="79"/>
        <v>134930</v>
      </c>
      <c r="Z93" s="366">
        <f t="shared" si="80"/>
        <v>13840</v>
      </c>
      <c r="AA93" s="366">
        <f t="shared" si="81"/>
        <v>42480</v>
      </c>
      <c r="AB93" s="366">
        <f t="shared" si="82"/>
        <v>32080</v>
      </c>
      <c r="AC93" s="367">
        <f t="shared" si="75"/>
        <v>742540</v>
      </c>
    </row>
    <row r="94" spans="1:29" s="332" customFormat="1" ht="16.5" customHeight="1">
      <c r="A94" s="1037"/>
      <c r="B94" s="353"/>
      <c r="C94" s="353"/>
      <c r="D94" s="353"/>
      <c r="E94" s="368" t="s">
        <v>54</v>
      </c>
      <c r="F94" s="363">
        <f t="shared" si="85"/>
        <v>2286000</v>
      </c>
      <c r="G94" s="363"/>
      <c r="H94" s="363"/>
      <c r="I94" s="363"/>
      <c r="J94" s="363"/>
      <c r="K94" s="363"/>
      <c r="L94" s="363"/>
      <c r="M94" s="363"/>
      <c r="N94" s="363"/>
      <c r="O94" s="363">
        <f t="shared" si="76"/>
        <v>60000</v>
      </c>
      <c r="P94" s="363"/>
      <c r="Q94" s="363">
        <f t="shared" si="77"/>
        <v>16410</v>
      </c>
      <c r="R94" s="363">
        <f t="shared" si="83"/>
        <v>328200</v>
      </c>
      <c r="S94" s="363">
        <v>0</v>
      </c>
      <c r="T94" s="363"/>
      <c r="U94" s="356">
        <f t="shared" si="74"/>
        <v>2674200</v>
      </c>
      <c r="V94" s="357"/>
      <c r="W94" s="365">
        <f t="shared" si="84"/>
        <v>222850</v>
      </c>
      <c r="X94" s="366">
        <f t="shared" si="78"/>
        <v>120340</v>
      </c>
      <c r="Y94" s="366">
        <f t="shared" si="79"/>
        <v>89190</v>
      </c>
      <c r="Z94" s="366">
        <f t="shared" si="80"/>
        <v>9150</v>
      </c>
      <c r="AA94" s="366">
        <f t="shared" si="81"/>
        <v>28080</v>
      </c>
      <c r="AB94" s="366">
        <f t="shared" si="82"/>
        <v>21210</v>
      </c>
      <c r="AC94" s="367">
        <f t="shared" si="75"/>
        <v>490820</v>
      </c>
    </row>
    <row r="95" spans="1:29" s="332" customFormat="1" ht="16.5" customHeight="1">
      <c r="A95" s="1037"/>
      <c r="B95" s="353"/>
      <c r="C95" s="353"/>
      <c r="D95" s="353"/>
      <c r="E95" s="368" t="s">
        <v>55</v>
      </c>
      <c r="F95" s="363">
        <f t="shared" si="85"/>
        <v>2286000</v>
      </c>
      <c r="G95" s="363"/>
      <c r="H95" s="363"/>
      <c r="I95" s="363"/>
      <c r="J95" s="363"/>
      <c r="K95" s="363"/>
      <c r="L95" s="363"/>
      <c r="M95" s="363"/>
      <c r="N95" s="363"/>
      <c r="O95" s="363">
        <f t="shared" si="76"/>
        <v>60000</v>
      </c>
      <c r="P95" s="363"/>
      <c r="Q95" s="363">
        <f t="shared" si="77"/>
        <v>16410</v>
      </c>
      <c r="R95" s="363">
        <f t="shared" si="83"/>
        <v>328200</v>
      </c>
      <c r="S95" s="363">
        <v>0</v>
      </c>
      <c r="T95" s="363"/>
      <c r="U95" s="356">
        <f t="shared" si="74"/>
        <v>2674200</v>
      </c>
      <c r="V95" s="357"/>
      <c r="W95" s="365">
        <f t="shared" si="84"/>
        <v>222850</v>
      </c>
      <c r="X95" s="366">
        <f t="shared" si="78"/>
        <v>120340</v>
      </c>
      <c r="Y95" s="366">
        <f t="shared" si="79"/>
        <v>89190</v>
      </c>
      <c r="Z95" s="366">
        <f t="shared" si="80"/>
        <v>9150</v>
      </c>
      <c r="AA95" s="366">
        <f t="shared" si="81"/>
        <v>28080</v>
      </c>
      <c r="AB95" s="366">
        <f t="shared" si="82"/>
        <v>21210</v>
      </c>
      <c r="AC95" s="367">
        <f t="shared" si="75"/>
        <v>490820</v>
      </c>
    </row>
    <row r="96" spans="1:29" s="332" customFormat="1" ht="16.5" customHeight="1">
      <c r="A96" s="1037"/>
      <c r="B96" s="353"/>
      <c r="C96" s="353"/>
      <c r="D96" s="353"/>
      <c r="E96" s="368" t="s">
        <v>179</v>
      </c>
      <c r="F96" s="363">
        <f t="shared" si="85"/>
        <v>2286000</v>
      </c>
      <c r="G96" s="363"/>
      <c r="H96" s="363"/>
      <c r="I96" s="363"/>
      <c r="J96" s="363"/>
      <c r="K96" s="363"/>
      <c r="L96" s="363"/>
      <c r="M96" s="363"/>
      <c r="N96" s="363"/>
      <c r="O96" s="363">
        <f t="shared" si="76"/>
        <v>60000</v>
      </c>
      <c r="P96" s="363"/>
      <c r="Q96" s="363">
        <f t="shared" si="77"/>
        <v>16410</v>
      </c>
      <c r="R96" s="363">
        <f>Q96*20*2</f>
        <v>656400</v>
      </c>
      <c r="S96" s="363">
        <v>0</v>
      </c>
      <c r="T96" s="363"/>
      <c r="U96" s="356">
        <f t="shared" si="74"/>
        <v>3002400</v>
      </c>
      <c r="V96" s="357"/>
      <c r="W96" s="365">
        <f t="shared" si="84"/>
        <v>250200</v>
      </c>
      <c r="X96" s="366">
        <f t="shared" si="78"/>
        <v>135110</v>
      </c>
      <c r="Y96" s="366">
        <f t="shared" si="79"/>
        <v>100140</v>
      </c>
      <c r="Z96" s="366">
        <f t="shared" si="80"/>
        <v>10270</v>
      </c>
      <c r="AA96" s="366">
        <f t="shared" si="81"/>
        <v>31530</v>
      </c>
      <c r="AB96" s="366">
        <f t="shared" si="82"/>
        <v>23810</v>
      </c>
      <c r="AC96" s="367">
        <f t="shared" si="75"/>
        <v>551060</v>
      </c>
    </row>
    <row r="97" spans="1:29" s="332" customFormat="1" ht="16.5" customHeight="1">
      <c r="A97" s="1037">
        <v>8</v>
      </c>
      <c r="B97" s="353" t="s">
        <v>325</v>
      </c>
      <c r="C97" s="353">
        <v>3</v>
      </c>
      <c r="D97" s="353">
        <v>1</v>
      </c>
      <c r="E97" s="355" t="s">
        <v>164</v>
      </c>
      <c r="F97" s="371">
        <f t="shared" ref="F97:N97" si="86">SUM(F98:F109)</f>
        <v>24996000</v>
      </c>
      <c r="G97" s="356">
        <f t="shared" si="86"/>
        <v>0</v>
      </c>
      <c r="H97" s="356">
        <f t="shared" si="86"/>
        <v>0</v>
      </c>
      <c r="I97" s="356">
        <f t="shared" si="86"/>
        <v>0</v>
      </c>
      <c r="J97" s="356">
        <f t="shared" si="86"/>
        <v>0</v>
      </c>
      <c r="K97" s="356">
        <f t="shared" si="86"/>
        <v>0</v>
      </c>
      <c r="L97" s="356">
        <f t="shared" si="86"/>
        <v>0</v>
      </c>
      <c r="M97" s="356">
        <f t="shared" si="86"/>
        <v>2499600</v>
      </c>
      <c r="N97" s="356">
        <f t="shared" si="86"/>
        <v>0</v>
      </c>
      <c r="O97" s="356">
        <f>SUM(O98:O109)</f>
        <v>720000</v>
      </c>
      <c r="P97" s="356">
        <f>SUM(P98:P109)</f>
        <v>0</v>
      </c>
      <c r="Q97" s="356"/>
      <c r="R97" s="356">
        <f>SUM(R98:R109)</f>
        <v>3588000</v>
      </c>
      <c r="S97" s="356">
        <f>SUM(S98:S109)</f>
        <v>0</v>
      </c>
      <c r="T97" s="356">
        <f>SUM(T98:T109)</f>
        <v>0</v>
      </c>
      <c r="U97" s="356">
        <f>SUM(U98:U109)</f>
        <v>31803600</v>
      </c>
      <c r="V97" s="357"/>
      <c r="W97" s="358">
        <f t="shared" ref="W97:AB97" si="87">SUM(W98:W109)</f>
        <v>2650310</v>
      </c>
      <c r="X97" s="356">
        <f t="shared" si="87"/>
        <v>1431170</v>
      </c>
      <c r="Y97" s="356">
        <f t="shared" si="87"/>
        <v>1060750</v>
      </c>
      <c r="Z97" s="356">
        <f t="shared" si="87"/>
        <v>108770</v>
      </c>
      <c r="AA97" s="356">
        <f t="shared" si="87"/>
        <v>333920</v>
      </c>
      <c r="AB97" s="356">
        <f t="shared" si="87"/>
        <v>252250</v>
      </c>
      <c r="AC97" s="359">
        <f>SUM(AC98:AC109)</f>
        <v>5837170</v>
      </c>
    </row>
    <row r="98" spans="1:29" s="332" customFormat="1" ht="16.5" customHeight="1">
      <c r="A98" s="1037"/>
      <c r="B98" s="353" t="s">
        <v>62</v>
      </c>
      <c r="C98" s="353">
        <v>3</v>
      </c>
      <c r="D98" s="353"/>
      <c r="E98" s="368" t="s">
        <v>94</v>
      </c>
      <c r="F98" s="363">
        <v>2083000</v>
      </c>
      <c r="G98" s="363"/>
      <c r="H98" s="364"/>
      <c r="I98" s="363"/>
      <c r="J98" s="363"/>
      <c r="K98" s="363"/>
      <c r="L98" s="363"/>
      <c r="M98" s="363" t="s">
        <v>58</v>
      </c>
      <c r="N98" s="363"/>
      <c r="O98" s="363">
        <v>60000</v>
      </c>
      <c r="P98" s="363"/>
      <c r="Q98" s="363"/>
      <c r="R98" s="363"/>
      <c r="S98" s="363"/>
      <c r="T98" s="363"/>
      <c r="U98" s="356">
        <f t="shared" ref="U98:U109" si="88">SUM(F98,M98,O98,R98,T98,S98)</f>
        <v>2143000</v>
      </c>
      <c r="V98" s="357"/>
      <c r="W98" s="365">
        <f>ROUNDUP(U98*1/12,-1)</f>
        <v>178590</v>
      </c>
      <c r="X98" s="366">
        <f>ROUND(U98*4.5%,-1)</f>
        <v>96440</v>
      </c>
      <c r="Y98" s="366">
        <f>ROUNDUP((U98-L98)*6.67%*1/2,-1)</f>
        <v>71470</v>
      </c>
      <c r="Z98" s="366">
        <f>ROUNDUP(Y98*10.25%,-1)</f>
        <v>7330</v>
      </c>
      <c r="AA98" s="366">
        <f>ROUND(U98*1.05%,-1)</f>
        <v>22500</v>
      </c>
      <c r="AB98" s="366">
        <f>ROUND(U98*0.793%,-1)</f>
        <v>16990</v>
      </c>
      <c r="AC98" s="367">
        <f t="shared" ref="AC98:AC109" si="89">SUM(W98:AB98)</f>
        <v>393320</v>
      </c>
    </row>
    <row r="99" spans="1:29" s="332" customFormat="1" ht="16.5" customHeight="1">
      <c r="A99" s="1037"/>
      <c r="B99" s="353"/>
      <c r="C99" s="353"/>
      <c r="D99" s="353"/>
      <c r="E99" s="368" t="s">
        <v>150</v>
      </c>
      <c r="F99" s="363">
        <f>F98</f>
        <v>2083000</v>
      </c>
      <c r="G99" s="363"/>
      <c r="H99" s="363"/>
      <c r="I99" s="363"/>
      <c r="J99" s="363"/>
      <c r="K99" s="363"/>
      <c r="L99" s="363"/>
      <c r="M99" s="363">
        <f>F99*60%</f>
        <v>1249800</v>
      </c>
      <c r="N99" s="363"/>
      <c r="O99" s="363">
        <f>O98</f>
        <v>60000</v>
      </c>
      <c r="P99" s="363"/>
      <c r="Q99" s="363">
        <f t="shared" ref="Q99:Q109" si="90">ROUND((F98+T98)*1/209*1.5,-1)</f>
        <v>14950</v>
      </c>
      <c r="R99" s="363">
        <f>Q99*20</f>
        <v>299000</v>
      </c>
      <c r="S99" s="363">
        <v>0</v>
      </c>
      <c r="T99" s="363"/>
      <c r="U99" s="356">
        <f t="shared" si="88"/>
        <v>3691800</v>
      </c>
      <c r="V99" s="357"/>
      <c r="W99" s="365">
        <f>ROUNDUP((T99+U99)*1/12,-1)</f>
        <v>307650</v>
      </c>
      <c r="X99" s="366">
        <f t="shared" ref="X99:X109" si="91">ROUND(U99*4.5%,-1)</f>
        <v>166130</v>
      </c>
      <c r="Y99" s="366">
        <f t="shared" ref="Y99:Y109" si="92">ROUNDUP((U99-L99)*6.67%*1/2,-1)</f>
        <v>123130</v>
      </c>
      <c r="Z99" s="366">
        <f t="shared" ref="Z99:Z109" si="93">ROUNDUP(Y99*10.25%,-1)</f>
        <v>12630</v>
      </c>
      <c r="AA99" s="366">
        <f t="shared" ref="AA99:AA109" si="94">ROUND(U99*1.05%,-1)</f>
        <v>38760</v>
      </c>
      <c r="AB99" s="366">
        <f t="shared" ref="AB99:AB109" si="95">ROUND(U99*0.793%,-1)</f>
        <v>29280</v>
      </c>
      <c r="AC99" s="367">
        <f t="shared" si="89"/>
        <v>677580</v>
      </c>
    </row>
    <row r="100" spans="1:29" s="332" customFormat="1" ht="16.5" customHeight="1">
      <c r="A100" s="1037"/>
      <c r="B100" s="353"/>
      <c r="C100" s="353"/>
      <c r="D100" s="353"/>
      <c r="E100" s="368" t="s">
        <v>82</v>
      </c>
      <c r="F100" s="363">
        <f t="shared" ref="F100:F106" si="96">F99</f>
        <v>2083000</v>
      </c>
      <c r="G100" s="363"/>
      <c r="H100" s="363"/>
      <c r="I100" s="363"/>
      <c r="J100" s="363"/>
      <c r="K100" s="363"/>
      <c r="L100" s="363"/>
      <c r="M100" s="363"/>
      <c r="N100" s="363"/>
      <c r="O100" s="363">
        <f t="shared" ref="O100:O109" si="97">O99</f>
        <v>60000</v>
      </c>
      <c r="P100" s="363"/>
      <c r="Q100" s="363">
        <f t="shared" si="90"/>
        <v>14950</v>
      </c>
      <c r="R100" s="363">
        <f t="shared" ref="R100:R108" si="98">Q100*20</f>
        <v>299000</v>
      </c>
      <c r="S100" s="363">
        <v>0</v>
      </c>
      <c r="T100" s="363"/>
      <c r="U100" s="356">
        <f t="shared" si="88"/>
        <v>2442000</v>
      </c>
      <c r="V100" s="357"/>
      <c r="W100" s="365">
        <f t="shared" ref="W100:W109" si="99">ROUNDUP(U100*1/12,-1)</f>
        <v>203500</v>
      </c>
      <c r="X100" s="366">
        <f t="shared" si="91"/>
        <v>109890</v>
      </c>
      <c r="Y100" s="366">
        <f t="shared" si="92"/>
        <v>81450</v>
      </c>
      <c r="Z100" s="366">
        <f t="shared" si="93"/>
        <v>8350</v>
      </c>
      <c r="AA100" s="366">
        <f t="shared" si="94"/>
        <v>25640</v>
      </c>
      <c r="AB100" s="366">
        <f t="shared" si="95"/>
        <v>19370</v>
      </c>
      <c r="AC100" s="367">
        <f t="shared" si="89"/>
        <v>448200</v>
      </c>
    </row>
    <row r="101" spans="1:29" s="332" customFormat="1" ht="16.5" customHeight="1">
      <c r="A101" s="1037"/>
      <c r="B101" s="353"/>
      <c r="C101" s="353"/>
      <c r="D101" s="353"/>
      <c r="E101" s="368" t="s">
        <v>159</v>
      </c>
      <c r="F101" s="363">
        <f t="shared" si="96"/>
        <v>2083000</v>
      </c>
      <c r="G101" s="363"/>
      <c r="H101" s="363"/>
      <c r="I101" s="363"/>
      <c r="J101" s="363"/>
      <c r="K101" s="363"/>
      <c r="L101" s="363"/>
      <c r="M101" s="363"/>
      <c r="N101" s="363"/>
      <c r="O101" s="363">
        <f t="shared" si="97"/>
        <v>60000</v>
      </c>
      <c r="P101" s="363"/>
      <c r="Q101" s="363">
        <f t="shared" si="90"/>
        <v>14950</v>
      </c>
      <c r="R101" s="363">
        <f t="shared" si="98"/>
        <v>299000</v>
      </c>
      <c r="S101" s="363">
        <v>0</v>
      </c>
      <c r="T101" s="363"/>
      <c r="U101" s="356">
        <f t="shared" si="88"/>
        <v>2442000</v>
      </c>
      <c r="V101" s="357"/>
      <c r="W101" s="365">
        <f t="shared" si="99"/>
        <v>203500</v>
      </c>
      <c r="X101" s="366">
        <f t="shared" si="91"/>
        <v>109890</v>
      </c>
      <c r="Y101" s="366">
        <f t="shared" si="92"/>
        <v>81450</v>
      </c>
      <c r="Z101" s="366">
        <f t="shared" si="93"/>
        <v>8350</v>
      </c>
      <c r="AA101" s="366">
        <f t="shared" si="94"/>
        <v>25640</v>
      </c>
      <c r="AB101" s="366">
        <f t="shared" si="95"/>
        <v>19370</v>
      </c>
      <c r="AC101" s="367">
        <f t="shared" si="89"/>
        <v>448200</v>
      </c>
    </row>
    <row r="102" spans="1:29" s="332" customFormat="1" ht="16.5" customHeight="1">
      <c r="A102" s="1037"/>
      <c r="B102" s="353"/>
      <c r="C102" s="353"/>
      <c r="D102" s="353"/>
      <c r="E102" s="368" t="s">
        <v>61</v>
      </c>
      <c r="F102" s="363">
        <f t="shared" si="96"/>
        <v>2083000</v>
      </c>
      <c r="G102" s="363"/>
      <c r="H102" s="363"/>
      <c r="I102" s="363"/>
      <c r="J102" s="363"/>
      <c r="K102" s="363"/>
      <c r="L102" s="363"/>
      <c r="M102" s="363"/>
      <c r="N102" s="363"/>
      <c r="O102" s="363">
        <f t="shared" si="97"/>
        <v>60000</v>
      </c>
      <c r="P102" s="363"/>
      <c r="Q102" s="363">
        <f t="shared" si="90"/>
        <v>14950</v>
      </c>
      <c r="R102" s="363">
        <f t="shared" si="98"/>
        <v>299000</v>
      </c>
      <c r="S102" s="363">
        <v>0</v>
      </c>
      <c r="T102" s="363"/>
      <c r="U102" s="356">
        <f t="shared" si="88"/>
        <v>2442000</v>
      </c>
      <c r="V102" s="357"/>
      <c r="W102" s="365">
        <f t="shared" si="99"/>
        <v>203500</v>
      </c>
      <c r="X102" s="366">
        <f t="shared" si="91"/>
        <v>109890</v>
      </c>
      <c r="Y102" s="366">
        <f t="shared" si="92"/>
        <v>81450</v>
      </c>
      <c r="Z102" s="366">
        <f t="shared" si="93"/>
        <v>8350</v>
      </c>
      <c r="AA102" s="366">
        <f t="shared" si="94"/>
        <v>25640</v>
      </c>
      <c r="AB102" s="366">
        <f t="shared" si="95"/>
        <v>19370</v>
      </c>
      <c r="AC102" s="367">
        <f t="shared" si="89"/>
        <v>448200</v>
      </c>
    </row>
    <row r="103" spans="1:29" s="332" customFormat="1" ht="17.25" customHeight="1">
      <c r="A103" s="1037"/>
      <c r="B103" s="353"/>
      <c r="C103" s="353"/>
      <c r="D103" s="353"/>
      <c r="E103" s="368" t="s">
        <v>156</v>
      </c>
      <c r="F103" s="363">
        <f t="shared" si="96"/>
        <v>2083000</v>
      </c>
      <c r="G103" s="363"/>
      <c r="H103" s="363"/>
      <c r="I103" s="363"/>
      <c r="J103" s="363"/>
      <c r="K103" s="363"/>
      <c r="L103" s="363"/>
      <c r="M103" s="363"/>
      <c r="N103" s="363"/>
      <c r="O103" s="363">
        <f t="shared" si="97"/>
        <v>60000</v>
      </c>
      <c r="P103" s="363"/>
      <c r="Q103" s="363">
        <f t="shared" si="90"/>
        <v>14950</v>
      </c>
      <c r="R103" s="363">
        <f t="shared" si="98"/>
        <v>299000</v>
      </c>
      <c r="S103" s="363">
        <v>0</v>
      </c>
      <c r="T103" s="363"/>
      <c r="U103" s="356">
        <f t="shared" si="88"/>
        <v>2442000</v>
      </c>
      <c r="V103" s="357"/>
      <c r="W103" s="365">
        <f t="shared" si="99"/>
        <v>203500</v>
      </c>
      <c r="X103" s="366">
        <f t="shared" si="91"/>
        <v>109890</v>
      </c>
      <c r="Y103" s="366">
        <f t="shared" si="92"/>
        <v>81450</v>
      </c>
      <c r="Z103" s="366">
        <f t="shared" si="93"/>
        <v>8350</v>
      </c>
      <c r="AA103" s="366">
        <f t="shared" si="94"/>
        <v>25640</v>
      </c>
      <c r="AB103" s="366">
        <f t="shared" si="95"/>
        <v>19370</v>
      </c>
      <c r="AC103" s="367">
        <f t="shared" si="89"/>
        <v>448200</v>
      </c>
    </row>
    <row r="104" spans="1:29" s="332" customFormat="1" ht="16.5" customHeight="1">
      <c r="A104" s="1037"/>
      <c r="B104" s="353"/>
      <c r="C104" s="353"/>
      <c r="D104" s="353"/>
      <c r="E104" s="368" t="s">
        <v>136</v>
      </c>
      <c r="F104" s="363">
        <f t="shared" si="96"/>
        <v>2083000</v>
      </c>
      <c r="G104" s="363"/>
      <c r="H104" s="364"/>
      <c r="I104" s="363"/>
      <c r="J104" s="363"/>
      <c r="K104" s="363"/>
      <c r="L104" s="363"/>
      <c r="M104" s="363"/>
      <c r="N104" s="363"/>
      <c r="O104" s="363">
        <f t="shared" si="97"/>
        <v>60000</v>
      </c>
      <c r="P104" s="363"/>
      <c r="Q104" s="363">
        <f t="shared" si="90"/>
        <v>14950</v>
      </c>
      <c r="R104" s="363">
        <f t="shared" si="98"/>
        <v>299000</v>
      </c>
      <c r="S104" s="363">
        <v>0</v>
      </c>
      <c r="T104" s="363"/>
      <c r="U104" s="356">
        <f t="shared" si="88"/>
        <v>2442000</v>
      </c>
      <c r="V104" s="357"/>
      <c r="W104" s="365">
        <f t="shared" si="99"/>
        <v>203500</v>
      </c>
      <c r="X104" s="366">
        <f t="shared" si="91"/>
        <v>109890</v>
      </c>
      <c r="Y104" s="366">
        <f t="shared" si="92"/>
        <v>81450</v>
      </c>
      <c r="Z104" s="366">
        <f t="shared" si="93"/>
        <v>8350</v>
      </c>
      <c r="AA104" s="366">
        <f t="shared" si="94"/>
        <v>25640</v>
      </c>
      <c r="AB104" s="366">
        <f t="shared" si="95"/>
        <v>19370</v>
      </c>
      <c r="AC104" s="367">
        <f t="shared" si="89"/>
        <v>448200</v>
      </c>
    </row>
    <row r="105" spans="1:29" s="332" customFormat="1" ht="16.5" customHeight="1">
      <c r="A105" s="1037"/>
      <c r="B105" s="353"/>
      <c r="C105" s="353"/>
      <c r="D105" s="353"/>
      <c r="E105" s="368" t="s">
        <v>84</v>
      </c>
      <c r="F105" s="363">
        <f t="shared" si="96"/>
        <v>2083000</v>
      </c>
      <c r="G105" s="363"/>
      <c r="H105" s="363"/>
      <c r="I105" s="363"/>
      <c r="J105" s="363"/>
      <c r="K105" s="363"/>
      <c r="L105" s="363"/>
      <c r="M105" s="363"/>
      <c r="N105" s="363"/>
      <c r="O105" s="363">
        <f t="shared" si="97"/>
        <v>60000</v>
      </c>
      <c r="P105" s="363"/>
      <c r="Q105" s="363">
        <f t="shared" si="90"/>
        <v>14950</v>
      </c>
      <c r="R105" s="363">
        <f t="shared" si="98"/>
        <v>299000</v>
      </c>
      <c r="S105" s="363">
        <v>0</v>
      </c>
      <c r="T105" s="363"/>
      <c r="U105" s="356">
        <f t="shared" si="88"/>
        <v>2442000</v>
      </c>
      <c r="V105" s="357"/>
      <c r="W105" s="365">
        <f t="shared" si="99"/>
        <v>203500</v>
      </c>
      <c r="X105" s="366">
        <f t="shared" si="91"/>
        <v>109890</v>
      </c>
      <c r="Y105" s="366">
        <f t="shared" si="92"/>
        <v>81450</v>
      </c>
      <c r="Z105" s="366">
        <f t="shared" si="93"/>
        <v>8350</v>
      </c>
      <c r="AA105" s="366">
        <f t="shared" si="94"/>
        <v>25640</v>
      </c>
      <c r="AB105" s="366">
        <f t="shared" si="95"/>
        <v>19370</v>
      </c>
      <c r="AC105" s="367">
        <f t="shared" si="89"/>
        <v>448200</v>
      </c>
    </row>
    <row r="106" spans="1:29" s="332" customFormat="1" ht="16.5" customHeight="1">
      <c r="A106" s="1037"/>
      <c r="B106" s="353"/>
      <c r="C106" s="353"/>
      <c r="D106" s="353"/>
      <c r="E106" s="368" t="s">
        <v>67</v>
      </c>
      <c r="F106" s="363">
        <f t="shared" si="96"/>
        <v>2083000</v>
      </c>
      <c r="G106" s="363"/>
      <c r="H106" s="363"/>
      <c r="I106" s="363"/>
      <c r="J106" s="363"/>
      <c r="K106" s="363"/>
      <c r="L106" s="363"/>
      <c r="M106" s="363">
        <f>F106*60%</f>
        <v>1249800</v>
      </c>
      <c r="N106" s="363"/>
      <c r="O106" s="363">
        <f t="shared" si="97"/>
        <v>60000</v>
      </c>
      <c r="P106" s="363"/>
      <c r="Q106" s="363">
        <f t="shared" si="90"/>
        <v>14950</v>
      </c>
      <c r="R106" s="363">
        <f t="shared" si="98"/>
        <v>299000</v>
      </c>
      <c r="S106" s="363">
        <v>0</v>
      </c>
      <c r="T106" s="363"/>
      <c r="U106" s="356">
        <f t="shared" si="88"/>
        <v>3691800</v>
      </c>
      <c r="V106" s="357"/>
      <c r="W106" s="365">
        <f t="shared" si="99"/>
        <v>307650</v>
      </c>
      <c r="X106" s="366">
        <f t="shared" si="91"/>
        <v>166130</v>
      </c>
      <c r="Y106" s="366">
        <f t="shared" si="92"/>
        <v>123130</v>
      </c>
      <c r="Z106" s="366">
        <f t="shared" si="93"/>
        <v>12630</v>
      </c>
      <c r="AA106" s="366">
        <f t="shared" si="94"/>
        <v>38760</v>
      </c>
      <c r="AB106" s="366">
        <f t="shared" si="95"/>
        <v>29280</v>
      </c>
      <c r="AC106" s="367">
        <f t="shared" si="89"/>
        <v>677580</v>
      </c>
    </row>
    <row r="107" spans="1:29" s="332" customFormat="1" ht="16.5" customHeight="1">
      <c r="A107" s="1037"/>
      <c r="B107" s="353"/>
      <c r="C107" s="353"/>
      <c r="D107" s="353"/>
      <c r="E107" s="368" t="s">
        <v>54</v>
      </c>
      <c r="F107" s="363">
        <f>F106</f>
        <v>2083000</v>
      </c>
      <c r="G107" s="363"/>
      <c r="H107" s="363"/>
      <c r="I107" s="363"/>
      <c r="J107" s="363"/>
      <c r="K107" s="363"/>
      <c r="L107" s="363"/>
      <c r="M107" s="363"/>
      <c r="N107" s="363"/>
      <c r="O107" s="363">
        <f t="shared" si="97"/>
        <v>60000</v>
      </c>
      <c r="P107" s="363"/>
      <c r="Q107" s="363">
        <f t="shared" si="90"/>
        <v>14950</v>
      </c>
      <c r="R107" s="363">
        <f t="shared" si="98"/>
        <v>299000</v>
      </c>
      <c r="S107" s="363">
        <v>0</v>
      </c>
      <c r="T107" s="363"/>
      <c r="U107" s="356">
        <f t="shared" si="88"/>
        <v>2442000</v>
      </c>
      <c r="V107" s="357"/>
      <c r="W107" s="365">
        <f t="shared" si="99"/>
        <v>203500</v>
      </c>
      <c r="X107" s="366">
        <f t="shared" si="91"/>
        <v>109890</v>
      </c>
      <c r="Y107" s="366">
        <f t="shared" si="92"/>
        <v>81450</v>
      </c>
      <c r="Z107" s="366">
        <f t="shared" si="93"/>
        <v>8350</v>
      </c>
      <c r="AA107" s="366">
        <f t="shared" si="94"/>
        <v>25640</v>
      </c>
      <c r="AB107" s="366">
        <f t="shared" si="95"/>
        <v>19370</v>
      </c>
      <c r="AC107" s="367">
        <f t="shared" si="89"/>
        <v>448200</v>
      </c>
    </row>
    <row r="108" spans="1:29" s="332" customFormat="1" ht="16.5" customHeight="1">
      <c r="A108" s="1037"/>
      <c r="B108" s="353"/>
      <c r="C108" s="353"/>
      <c r="D108" s="353"/>
      <c r="E108" s="368" t="s">
        <v>55</v>
      </c>
      <c r="F108" s="363">
        <f>F107</f>
        <v>2083000</v>
      </c>
      <c r="G108" s="363"/>
      <c r="H108" s="363"/>
      <c r="I108" s="363"/>
      <c r="J108" s="363"/>
      <c r="K108" s="363"/>
      <c r="L108" s="363"/>
      <c r="M108" s="363"/>
      <c r="N108" s="363"/>
      <c r="O108" s="363">
        <f t="shared" si="97"/>
        <v>60000</v>
      </c>
      <c r="P108" s="363"/>
      <c r="Q108" s="363">
        <f t="shared" si="90"/>
        <v>14950</v>
      </c>
      <c r="R108" s="363">
        <f t="shared" si="98"/>
        <v>299000</v>
      </c>
      <c r="S108" s="363">
        <v>0</v>
      </c>
      <c r="T108" s="363"/>
      <c r="U108" s="356">
        <f t="shared" si="88"/>
        <v>2442000</v>
      </c>
      <c r="V108" s="357"/>
      <c r="W108" s="365">
        <f t="shared" si="99"/>
        <v>203500</v>
      </c>
      <c r="X108" s="366">
        <f t="shared" si="91"/>
        <v>109890</v>
      </c>
      <c r="Y108" s="366">
        <f t="shared" si="92"/>
        <v>81450</v>
      </c>
      <c r="Z108" s="366">
        <f t="shared" si="93"/>
        <v>8350</v>
      </c>
      <c r="AA108" s="366">
        <f t="shared" si="94"/>
        <v>25640</v>
      </c>
      <c r="AB108" s="366">
        <f t="shared" si="95"/>
        <v>19370</v>
      </c>
      <c r="AC108" s="367">
        <f t="shared" si="89"/>
        <v>448200</v>
      </c>
    </row>
    <row r="109" spans="1:29" s="332" customFormat="1" ht="16.5" customHeight="1">
      <c r="A109" s="1037"/>
      <c r="B109" s="353"/>
      <c r="C109" s="353"/>
      <c r="D109" s="353"/>
      <c r="E109" s="368" t="s">
        <v>179</v>
      </c>
      <c r="F109" s="363">
        <f>F108</f>
        <v>2083000</v>
      </c>
      <c r="G109" s="363"/>
      <c r="H109" s="363"/>
      <c r="I109" s="363"/>
      <c r="J109" s="363"/>
      <c r="K109" s="363"/>
      <c r="L109" s="363"/>
      <c r="M109" s="363"/>
      <c r="N109" s="363"/>
      <c r="O109" s="363">
        <f t="shared" si="97"/>
        <v>60000</v>
      </c>
      <c r="P109" s="363"/>
      <c r="Q109" s="363">
        <f t="shared" si="90"/>
        <v>14950</v>
      </c>
      <c r="R109" s="363">
        <f>Q109*20*2</f>
        <v>598000</v>
      </c>
      <c r="S109" s="363">
        <v>0</v>
      </c>
      <c r="T109" s="363"/>
      <c r="U109" s="356">
        <f t="shared" si="88"/>
        <v>2741000</v>
      </c>
      <c r="V109" s="357"/>
      <c r="W109" s="365">
        <f t="shared" si="99"/>
        <v>228420</v>
      </c>
      <c r="X109" s="366">
        <f t="shared" si="91"/>
        <v>123350</v>
      </c>
      <c r="Y109" s="366">
        <f t="shared" si="92"/>
        <v>91420</v>
      </c>
      <c r="Z109" s="366">
        <f t="shared" si="93"/>
        <v>9380</v>
      </c>
      <c r="AA109" s="366">
        <f t="shared" si="94"/>
        <v>28780</v>
      </c>
      <c r="AB109" s="366">
        <f t="shared" si="95"/>
        <v>21740</v>
      </c>
      <c r="AC109" s="367">
        <f t="shared" si="89"/>
        <v>503090</v>
      </c>
    </row>
    <row r="110" spans="1:29" s="332" customFormat="1" ht="16.5" customHeight="1">
      <c r="A110" s="1037">
        <v>9</v>
      </c>
      <c r="B110" s="353" t="s">
        <v>325</v>
      </c>
      <c r="C110" s="353">
        <v>3</v>
      </c>
      <c r="D110" s="353">
        <v>1</v>
      </c>
      <c r="E110" s="355" t="s">
        <v>164</v>
      </c>
      <c r="F110" s="371">
        <f t="shared" ref="F110:P110" si="100">SUM(F111:F122)</f>
        <v>24996000</v>
      </c>
      <c r="G110" s="356">
        <f t="shared" si="100"/>
        <v>0</v>
      </c>
      <c r="H110" s="356">
        <f t="shared" si="100"/>
        <v>0</v>
      </c>
      <c r="I110" s="356">
        <f t="shared" si="100"/>
        <v>0</v>
      </c>
      <c r="J110" s="356">
        <f t="shared" si="100"/>
        <v>0</v>
      </c>
      <c r="K110" s="356">
        <f t="shared" si="100"/>
        <v>0</v>
      </c>
      <c r="L110" s="356">
        <f t="shared" si="100"/>
        <v>0</v>
      </c>
      <c r="M110" s="356">
        <f t="shared" si="100"/>
        <v>2499600</v>
      </c>
      <c r="N110" s="356">
        <f t="shared" si="100"/>
        <v>0</v>
      </c>
      <c r="O110" s="356">
        <f t="shared" si="100"/>
        <v>720000</v>
      </c>
      <c r="P110" s="356">
        <f t="shared" si="100"/>
        <v>0</v>
      </c>
      <c r="Q110" s="356"/>
      <c r="R110" s="356">
        <f>SUM(R111:R122)</f>
        <v>3588000</v>
      </c>
      <c r="S110" s="356">
        <f>SUM(S111:S122)</f>
        <v>0</v>
      </c>
      <c r="T110" s="356">
        <f>SUM(T111:T122)</f>
        <v>0</v>
      </c>
      <c r="U110" s="356">
        <f>SUM(U111:U122)</f>
        <v>31803600</v>
      </c>
      <c r="V110" s="357"/>
      <c r="W110" s="358">
        <f t="shared" ref="W110:AB110" si="101">SUM(W111:W122)</f>
        <v>2650310</v>
      </c>
      <c r="X110" s="356">
        <f t="shared" si="101"/>
        <v>1431170</v>
      </c>
      <c r="Y110" s="356">
        <f t="shared" si="101"/>
        <v>1060750</v>
      </c>
      <c r="Z110" s="356">
        <f t="shared" si="101"/>
        <v>108770</v>
      </c>
      <c r="AA110" s="356">
        <f t="shared" si="101"/>
        <v>333920</v>
      </c>
      <c r="AB110" s="356">
        <f t="shared" si="101"/>
        <v>252250</v>
      </c>
      <c r="AC110" s="359">
        <f>SUM(AC111:AC122)</f>
        <v>5837170</v>
      </c>
    </row>
    <row r="111" spans="1:29" s="332" customFormat="1" ht="16.5" customHeight="1">
      <c r="A111" s="1037"/>
      <c r="B111" s="353" t="s">
        <v>89</v>
      </c>
      <c r="C111" s="353">
        <v>3</v>
      </c>
      <c r="D111" s="353"/>
      <c r="E111" s="368" t="s">
        <v>94</v>
      </c>
      <c r="F111" s="363">
        <v>2083000</v>
      </c>
      <c r="G111" s="363">
        <v>0</v>
      </c>
      <c r="H111" s="364"/>
      <c r="I111" s="363"/>
      <c r="J111" s="363"/>
      <c r="K111" s="363"/>
      <c r="L111" s="363"/>
      <c r="M111" s="363" t="s">
        <v>58</v>
      </c>
      <c r="N111" s="363"/>
      <c r="O111" s="363">
        <v>60000</v>
      </c>
      <c r="P111" s="363"/>
      <c r="Q111" s="363"/>
      <c r="R111" s="363"/>
      <c r="S111" s="363"/>
      <c r="T111" s="363"/>
      <c r="U111" s="356">
        <f t="shared" ref="U111:U122" si="102">SUM(F111,M111,O111,R111,T111,S111)</f>
        <v>2143000</v>
      </c>
      <c r="V111" s="357"/>
      <c r="W111" s="365">
        <f>ROUNDUP(U111*1/12,-1)</f>
        <v>178590</v>
      </c>
      <c r="X111" s="366">
        <f>ROUND(U111*4.5%,-1)</f>
        <v>96440</v>
      </c>
      <c r="Y111" s="366">
        <f>ROUNDUP((U111-L111)*6.67%*1/2,-1)</f>
        <v>71470</v>
      </c>
      <c r="Z111" s="366">
        <f>ROUNDUP(Y111*10.25%,-1)</f>
        <v>7330</v>
      </c>
      <c r="AA111" s="366">
        <f>ROUND(U111*1.05%,-1)</f>
        <v>22500</v>
      </c>
      <c r="AB111" s="366">
        <f>ROUND(U111*0.793%,-1)</f>
        <v>16990</v>
      </c>
      <c r="AC111" s="367">
        <f t="shared" ref="AC111:AC122" si="103">SUM(W111:AB111)</f>
        <v>393320</v>
      </c>
    </row>
    <row r="112" spans="1:29" s="332" customFormat="1" ht="16.5" customHeight="1">
      <c r="A112" s="1037"/>
      <c r="B112" s="353"/>
      <c r="C112" s="353"/>
      <c r="D112" s="353"/>
      <c r="E112" s="368" t="s">
        <v>150</v>
      </c>
      <c r="F112" s="363">
        <f t="shared" ref="F112:F122" si="104">F111</f>
        <v>2083000</v>
      </c>
      <c r="G112" s="363"/>
      <c r="H112" s="363"/>
      <c r="I112" s="363"/>
      <c r="J112" s="363"/>
      <c r="K112" s="363"/>
      <c r="L112" s="363"/>
      <c r="M112" s="363">
        <f>F112*60%</f>
        <v>1249800</v>
      </c>
      <c r="N112" s="363"/>
      <c r="O112" s="363">
        <f>O111</f>
        <v>60000</v>
      </c>
      <c r="P112" s="363"/>
      <c r="Q112" s="363">
        <f t="shared" ref="Q112:Q122" si="105">ROUND((F111+T111)*1/209*1.5,-1)</f>
        <v>14950</v>
      </c>
      <c r="R112" s="363">
        <f>Q112*20</f>
        <v>299000</v>
      </c>
      <c r="S112" s="363">
        <v>0</v>
      </c>
      <c r="T112" s="363"/>
      <c r="U112" s="356">
        <f t="shared" si="102"/>
        <v>3691800</v>
      </c>
      <c r="V112" s="357"/>
      <c r="W112" s="365">
        <f>ROUNDUP((T112+U112)*1/12,-1)</f>
        <v>307650</v>
      </c>
      <c r="X112" s="366">
        <f t="shared" ref="X112:X122" si="106">ROUND(U112*4.5%,-1)</f>
        <v>166130</v>
      </c>
      <c r="Y112" s="366">
        <f t="shared" ref="Y112:Y122" si="107">ROUNDUP((U112-L112)*6.67%*1/2,-1)</f>
        <v>123130</v>
      </c>
      <c r="Z112" s="366">
        <f t="shared" ref="Z112:Z122" si="108">ROUNDUP(Y112*10.25%,-1)</f>
        <v>12630</v>
      </c>
      <c r="AA112" s="366">
        <f t="shared" ref="AA112:AA122" si="109">ROUND(U112*1.05%,-1)</f>
        <v>38760</v>
      </c>
      <c r="AB112" s="366">
        <f t="shared" ref="AB112:AB122" si="110">ROUND(U112*0.793%,-1)</f>
        <v>29280</v>
      </c>
      <c r="AC112" s="367">
        <f t="shared" si="103"/>
        <v>677580</v>
      </c>
    </row>
    <row r="113" spans="1:29" s="332" customFormat="1" ht="16.5" customHeight="1">
      <c r="A113" s="1037"/>
      <c r="B113" s="353"/>
      <c r="C113" s="353"/>
      <c r="D113" s="353"/>
      <c r="E113" s="368" t="s">
        <v>82</v>
      </c>
      <c r="F113" s="363">
        <f t="shared" si="104"/>
        <v>2083000</v>
      </c>
      <c r="G113" s="363"/>
      <c r="H113" s="363"/>
      <c r="I113" s="363"/>
      <c r="J113" s="363"/>
      <c r="K113" s="363"/>
      <c r="L113" s="363"/>
      <c r="M113" s="363"/>
      <c r="N113" s="363"/>
      <c r="O113" s="363">
        <f>O112</f>
        <v>60000</v>
      </c>
      <c r="P113" s="363"/>
      <c r="Q113" s="363">
        <f t="shared" si="105"/>
        <v>14950</v>
      </c>
      <c r="R113" s="363">
        <f t="shared" ref="R113:R121" si="111">Q113*20</f>
        <v>299000</v>
      </c>
      <c r="S113" s="363">
        <v>0</v>
      </c>
      <c r="T113" s="363"/>
      <c r="U113" s="356">
        <f t="shared" si="102"/>
        <v>2442000</v>
      </c>
      <c r="V113" s="357"/>
      <c r="W113" s="365">
        <f t="shared" ref="W113:W122" si="112">ROUNDUP(U113*1/12,-1)</f>
        <v>203500</v>
      </c>
      <c r="X113" s="366">
        <f t="shared" si="106"/>
        <v>109890</v>
      </c>
      <c r="Y113" s="366">
        <f t="shared" si="107"/>
        <v>81450</v>
      </c>
      <c r="Z113" s="366">
        <f t="shared" si="108"/>
        <v>8350</v>
      </c>
      <c r="AA113" s="366">
        <f t="shared" si="109"/>
        <v>25640</v>
      </c>
      <c r="AB113" s="366">
        <f t="shared" si="110"/>
        <v>19370</v>
      </c>
      <c r="AC113" s="367">
        <f t="shared" si="103"/>
        <v>448200</v>
      </c>
    </row>
    <row r="114" spans="1:29" s="332" customFormat="1" ht="16.5" customHeight="1">
      <c r="A114" s="1037"/>
      <c r="B114" s="353"/>
      <c r="C114" s="353"/>
      <c r="D114" s="353"/>
      <c r="E114" s="368" t="s">
        <v>159</v>
      </c>
      <c r="F114" s="363">
        <f t="shared" si="104"/>
        <v>2083000</v>
      </c>
      <c r="G114" s="363"/>
      <c r="H114" s="363"/>
      <c r="I114" s="363"/>
      <c r="J114" s="363"/>
      <c r="K114" s="363"/>
      <c r="L114" s="363"/>
      <c r="M114" s="363"/>
      <c r="N114" s="363"/>
      <c r="O114" s="363">
        <f t="shared" ref="O114:O122" si="113">O113</f>
        <v>60000</v>
      </c>
      <c r="P114" s="363"/>
      <c r="Q114" s="363">
        <f t="shared" si="105"/>
        <v>14950</v>
      </c>
      <c r="R114" s="363">
        <f t="shared" si="111"/>
        <v>299000</v>
      </c>
      <c r="S114" s="363">
        <v>0</v>
      </c>
      <c r="T114" s="363"/>
      <c r="U114" s="356">
        <f t="shared" si="102"/>
        <v>2442000</v>
      </c>
      <c r="V114" s="357"/>
      <c r="W114" s="365">
        <f t="shared" si="112"/>
        <v>203500</v>
      </c>
      <c r="X114" s="366">
        <f t="shared" si="106"/>
        <v>109890</v>
      </c>
      <c r="Y114" s="366">
        <f t="shared" si="107"/>
        <v>81450</v>
      </c>
      <c r="Z114" s="366">
        <f t="shared" si="108"/>
        <v>8350</v>
      </c>
      <c r="AA114" s="366">
        <f t="shared" si="109"/>
        <v>25640</v>
      </c>
      <c r="AB114" s="366">
        <f t="shared" si="110"/>
        <v>19370</v>
      </c>
      <c r="AC114" s="367">
        <f t="shared" si="103"/>
        <v>448200</v>
      </c>
    </row>
    <row r="115" spans="1:29" s="332" customFormat="1" ht="16.5" customHeight="1">
      <c r="A115" s="1037"/>
      <c r="B115" s="353"/>
      <c r="C115" s="353"/>
      <c r="D115" s="353"/>
      <c r="E115" s="368" t="s">
        <v>61</v>
      </c>
      <c r="F115" s="363">
        <f t="shared" si="104"/>
        <v>2083000</v>
      </c>
      <c r="G115" s="363"/>
      <c r="H115" s="363"/>
      <c r="I115" s="363"/>
      <c r="J115" s="363"/>
      <c r="K115" s="363"/>
      <c r="L115" s="363"/>
      <c r="M115" s="363"/>
      <c r="N115" s="363"/>
      <c r="O115" s="363">
        <f t="shared" si="113"/>
        <v>60000</v>
      </c>
      <c r="P115" s="363"/>
      <c r="Q115" s="363">
        <f t="shared" si="105"/>
        <v>14950</v>
      </c>
      <c r="R115" s="363">
        <f t="shared" si="111"/>
        <v>299000</v>
      </c>
      <c r="S115" s="363">
        <v>0</v>
      </c>
      <c r="T115" s="363"/>
      <c r="U115" s="356">
        <f t="shared" si="102"/>
        <v>2442000</v>
      </c>
      <c r="V115" s="357"/>
      <c r="W115" s="365">
        <f t="shared" si="112"/>
        <v>203500</v>
      </c>
      <c r="X115" s="366">
        <f t="shared" si="106"/>
        <v>109890</v>
      </c>
      <c r="Y115" s="366">
        <f t="shared" si="107"/>
        <v>81450</v>
      </c>
      <c r="Z115" s="366">
        <f t="shared" si="108"/>
        <v>8350</v>
      </c>
      <c r="AA115" s="366">
        <f t="shared" si="109"/>
        <v>25640</v>
      </c>
      <c r="AB115" s="366">
        <f t="shared" si="110"/>
        <v>19370</v>
      </c>
      <c r="AC115" s="367">
        <f t="shared" si="103"/>
        <v>448200</v>
      </c>
    </row>
    <row r="116" spans="1:29" s="332" customFormat="1" ht="16.5" customHeight="1">
      <c r="A116" s="1037"/>
      <c r="B116" s="353"/>
      <c r="C116" s="353"/>
      <c r="D116" s="353"/>
      <c r="E116" s="368" t="s">
        <v>156</v>
      </c>
      <c r="F116" s="363">
        <f t="shared" si="104"/>
        <v>2083000</v>
      </c>
      <c r="G116" s="363"/>
      <c r="H116" s="363"/>
      <c r="I116" s="363"/>
      <c r="J116" s="363"/>
      <c r="K116" s="363"/>
      <c r="L116" s="363"/>
      <c r="M116" s="363"/>
      <c r="N116" s="363"/>
      <c r="O116" s="363">
        <f t="shared" si="113"/>
        <v>60000</v>
      </c>
      <c r="P116" s="363"/>
      <c r="Q116" s="363">
        <f t="shared" si="105"/>
        <v>14950</v>
      </c>
      <c r="R116" s="363">
        <f t="shared" si="111"/>
        <v>299000</v>
      </c>
      <c r="S116" s="363">
        <v>0</v>
      </c>
      <c r="T116" s="363"/>
      <c r="U116" s="356">
        <f t="shared" si="102"/>
        <v>2442000</v>
      </c>
      <c r="V116" s="357"/>
      <c r="W116" s="365">
        <f t="shared" si="112"/>
        <v>203500</v>
      </c>
      <c r="X116" s="366">
        <f t="shared" si="106"/>
        <v>109890</v>
      </c>
      <c r="Y116" s="366">
        <f t="shared" si="107"/>
        <v>81450</v>
      </c>
      <c r="Z116" s="366">
        <f t="shared" si="108"/>
        <v>8350</v>
      </c>
      <c r="AA116" s="366">
        <f t="shared" si="109"/>
        <v>25640</v>
      </c>
      <c r="AB116" s="366">
        <f t="shared" si="110"/>
        <v>19370</v>
      </c>
      <c r="AC116" s="367">
        <f t="shared" si="103"/>
        <v>448200</v>
      </c>
    </row>
    <row r="117" spans="1:29" s="332" customFormat="1" ht="16.5" customHeight="1">
      <c r="A117" s="1037"/>
      <c r="B117" s="353"/>
      <c r="C117" s="353"/>
      <c r="D117" s="353"/>
      <c r="E117" s="368" t="s">
        <v>136</v>
      </c>
      <c r="F117" s="363">
        <f t="shared" si="104"/>
        <v>2083000</v>
      </c>
      <c r="G117" s="363"/>
      <c r="H117" s="364"/>
      <c r="I117" s="363"/>
      <c r="J117" s="363"/>
      <c r="K117" s="363"/>
      <c r="L117" s="363"/>
      <c r="M117" s="363"/>
      <c r="N117" s="363"/>
      <c r="O117" s="363">
        <f t="shared" si="113"/>
        <v>60000</v>
      </c>
      <c r="P117" s="363"/>
      <c r="Q117" s="363">
        <f t="shared" si="105"/>
        <v>14950</v>
      </c>
      <c r="R117" s="363">
        <f t="shared" si="111"/>
        <v>299000</v>
      </c>
      <c r="S117" s="363">
        <v>0</v>
      </c>
      <c r="T117" s="363"/>
      <c r="U117" s="356">
        <f t="shared" si="102"/>
        <v>2442000</v>
      </c>
      <c r="V117" s="357"/>
      <c r="W117" s="365">
        <f t="shared" si="112"/>
        <v>203500</v>
      </c>
      <c r="X117" s="366">
        <f t="shared" si="106"/>
        <v>109890</v>
      </c>
      <c r="Y117" s="366">
        <f t="shared" si="107"/>
        <v>81450</v>
      </c>
      <c r="Z117" s="366">
        <f t="shared" si="108"/>
        <v>8350</v>
      </c>
      <c r="AA117" s="366">
        <f t="shared" si="109"/>
        <v>25640</v>
      </c>
      <c r="AB117" s="366">
        <f t="shared" si="110"/>
        <v>19370</v>
      </c>
      <c r="AC117" s="367">
        <f t="shared" si="103"/>
        <v>448200</v>
      </c>
    </row>
    <row r="118" spans="1:29" s="332" customFormat="1" ht="16.5" customHeight="1">
      <c r="A118" s="1037"/>
      <c r="B118" s="353"/>
      <c r="C118" s="353"/>
      <c r="D118" s="353"/>
      <c r="E118" s="368" t="s">
        <v>84</v>
      </c>
      <c r="F118" s="363">
        <f t="shared" si="104"/>
        <v>2083000</v>
      </c>
      <c r="G118" s="363"/>
      <c r="H118" s="363"/>
      <c r="I118" s="363"/>
      <c r="J118" s="363"/>
      <c r="K118" s="363"/>
      <c r="L118" s="363"/>
      <c r="M118" s="363"/>
      <c r="N118" s="363"/>
      <c r="O118" s="363">
        <f t="shared" si="113"/>
        <v>60000</v>
      </c>
      <c r="P118" s="363"/>
      <c r="Q118" s="363">
        <f t="shared" si="105"/>
        <v>14950</v>
      </c>
      <c r="R118" s="363">
        <f t="shared" si="111"/>
        <v>299000</v>
      </c>
      <c r="S118" s="363">
        <v>0</v>
      </c>
      <c r="T118" s="363"/>
      <c r="U118" s="356">
        <f t="shared" si="102"/>
        <v>2442000</v>
      </c>
      <c r="V118" s="357"/>
      <c r="W118" s="365">
        <f t="shared" si="112"/>
        <v>203500</v>
      </c>
      <c r="X118" s="366">
        <f t="shared" si="106"/>
        <v>109890</v>
      </c>
      <c r="Y118" s="366">
        <f t="shared" si="107"/>
        <v>81450</v>
      </c>
      <c r="Z118" s="366">
        <f t="shared" si="108"/>
        <v>8350</v>
      </c>
      <c r="AA118" s="366">
        <f t="shared" si="109"/>
        <v>25640</v>
      </c>
      <c r="AB118" s="366">
        <f t="shared" si="110"/>
        <v>19370</v>
      </c>
      <c r="AC118" s="367">
        <f t="shared" si="103"/>
        <v>448200</v>
      </c>
    </row>
    <row r="119" spans="1:29" s="332" customFormat="1" ht="16.5" customHeight="1">
      <c r="A119" s="1037"/>
      <c r="B119" s="353"/>
      <c r="C119" s="353"/>
      <c r="D119" s="353"/>
      <c r="E119" s="368" t="s">
        <v>67</v>
      </c>
      <c r="F119" s="363">
        <f t="shared" si="104"/>
        <v>2083000</v>
      </c>
      <c r="G119" s="363"/>
      <c r="H119" s="363"/>
      <c r="I119" s="363"/>
      <c r="J119" s="363"/>
      <c r="K119" s="363"/>
      <c r="L119" s="363"/>
      <c r="M119" s="363">
        <f>F119*60%</f>
        <v>1249800</v>
      </c>
      <c r="N119" s="363"/>
      <c r="O119" s="363">
        <f t="shared" si="113"/>
        <v>60000</v>
      </c>
      <c r="P119" s="363"/>
      <c r="Q119" s="363">
        <f t="shared" si="105"/>
        <v>14950</v>
      </c>
      <c r="R119" s="363">
        <f t="shared" si="111"/>
        <v>299000</v>
      </c>
      <c r="S119" s="363">
        <v>0</v>
      </c>
      <c r="T119" s="363"/>
      <c r="U119" s="356">
        <f t="shared" si="102"/>
        <v>3691800</v>
      </c>
      <c r="V119" s="357"/>
      <c r="W119" s="365">
        <f t="shared" si="112"/>
        <v>307650</v>
      </c>
      <c r="X119" s="366">
        <f t="shared" si="106"/>
        <v>166130</v>
      </c>
      <c r="Y119" s="366">
        <f t="shared" si="107"/>
        <v>123130</v>
      </c>
      <c r="Z119" s="366">
        <f t="shared" si="108"/>
        <v>12630</v>
      </c>
      <c r="AA119" s="366">
        <f t="shared" si="109"/>
        <v>38760</v>
      </c>
      <c r="AB119" s="366">
        <f t="shared" si="110"/>
        <v>29280</v>
      </c>
      <c r="AC119" s="367">
        <f t="shared" si="103"/>
        <v>677580</v>
      </c>
    </row>
    <row r="120" spans="1:29" s="332" customFormat="1" ht="16.5" customHeight="1">
      <c r="A120" s="1037"/>
      <c r="B120" s="353"/>
      <c r="C120" s="353"/>
      <c r="D120" s="353"/>
      <c r="E120" s="368" t="s">
        <v>54</v>
      </c>
      <c r="F120" s="363">
        <f t="shared" si="104"/>
        <v>2083000</v>
      </c>
      <c r="G120" s="363"/>
      <c r="H120" s="363"/>
      <c r="I120" s="363"/>
      <c r="J120" s="363"/>
      <c r="K120" s="363"/>
      <c r="L120" s="363"/>
      <c r="M120" s="363"/>
      <c r="N120" s="363"/>
      <c r="O120" s="363">
        <f t="shared" si="113"/>
        <v>60000</v>
      </c>
      <c r="P120" s="363"/>
      <c r="Q120" s="363">
        <f t="shared" si="105"/>
        <v>14950</v>
      </c>
      <c r="R120" s="363">
        <f t="shared" si="111"/>
        <v>299000</v>
      </c>
      <c r="S120" s="363">
        <v>0</v>
      </c>
      <c r="T120" s="363"/>
      <c r="U120" s="356">
        <f t="shared" si="102"/>
        <v>2442000</v>
      </c>
      <c r="V120" s="357"/>
      <c r="W120" s="365">
        <f t="shared" si="112"/>
        <v>203500</v>
      </c>
      <c r="X120" s="366">
        <f t="shared" si="106"/>
        <v>109890</v>
      </c>
      <c r="Y120" s="366">
        <f t="shared" si="107"/>
        <v>81450</v>
      </c>
      <c r="Z120" s="366">
        <f t="shared" si="108"/>
        <v>8350</v>
      </c>
      <c r="AA120" s="366">
        <f t="shared" si="109"/>
        <v>25640</v>
      </c>
      <c r="AB120" s="366">
        <f t="shared" si="110"/>
        <v>19370</v>
      </c>
      <c r="AC120" s="367">
        <f t="shared" si="103"/>
        <v>448200</v>
      </c>
    </row>
    <row r="121" spans="1:29" s="332" customFormat="1" ht="16.5" customHeight="1">
      <c r="A121" s="1037"/>
      <c r="B121" s="353"/>
      <c r="C121" s="353"/>
      <c r="D121" s="353"/>
      <c r="E121" s="368" t="s">
        <v>55</v>
      </c>
      <c r="F121" s="363">
        <f t="shared" si="104"/>
        <v>2083000</v>
      </c>
      <c r="G121" s="363"/>
      <c r="H121" s="363"/>
      <c r="I121" s="363"/>
      <c r="J121" s="363"/>
      <c r="K121" s="363"/>
      <c r="L121" s="363"/>
      <c r="M121" s="363"/>
      <c r="N121" s="363"/>
      <c r="O121" s="363">
        <f t="shared" si="113"/>
        <v>60000</v>
      </c>
      <c r="P121" s="363"/>
      <c r="Q121" s="363">
        <f t="shared" si="105"/>
        <v>14950</v>
      </c>
      <c r="R121" s="363">
        <f t="shared" si="111"/>
        <v>299000</v>
      </c>
      <c r="S121" s="363">
        <v>0</v>
      </c>
      <c r="T121" s="363"/>
      <c r="U121" s="356">
        <f t="shared" si="102"/>
        <v>2442000</v>
      </c>
      <c r="V121" s="357"/>
      <c r="W121" s="365">
        <f t="shared" si="112"/>
        <v>203500</v>
      </c>
      <c r="X121" s="366">
        <f t="shared" si="106"/>
        <v>109890</v>
      </c>
      <c r="Y121" s="366">
        <f t="shared" si="107"/>
        <v>81450</v>
      </c>
      <c r="Z121" s="366">
        <f t="shared" si="108"/>
        <v>8350</v>
      </c>
      <c r="AA121" s="366">
        <f t="shared" si="109"/>
        <v>25640</v>
      </c>
      <c r="AB121" s="366">
        <f t="shared" si="110"/>
        <v>19370</v>
      </c>
      <c r="AC121" s="367">
        <f t="shared" si="103"/>
        <v>448200</v>
      </c>
    </row>
    <row r="122" spans="1:29" s="332" customFormat="1" ht="16.5" customHeight="1">
      <c r="A122" s="1037"/>
      <c r="B122" s="353"/>
      <c r="C122" s="353"/>
      <c r="D122" s="353"/>
      <c r="E122" s="368" t="s">
        <v>179</v>
      </c>
      <c r="F122" s="363">
        <f t="shared" si="104"/>
        <v>2083000</v>
      </c>
      <c r="G122" s="363"/>
      <c r="H122" s="363"/>
      <c r="I122" s="363"/>
      <c r="J122" s="363"/>
      <c r="K122" s="363"/>
      <c r="L122" s="363"/>
      <c r="M122" s="363"/>
      <c r="N122" s="363"/>
      <c r="O122" s="363">
        <f t="shared" si="113"/>
        <v>60000</v>
      </c>
      <c r="P122" s="363"/>
      <c r="Q122" s="363">
        <f t="shared" si="105"/>
        <v>14950</v>
      </c>
      <c r="R122" s="363">
        <f>Q122*20*2</f>
        <v>598000</v>
      </c>
      <c r="S122" s="363">
        <v>0</v>
      </c>
      <c r="T122" s="363"/>
      <c r="U122" s="356">
        <f t="shared" si="102"/>
        <v>2741000</v>
      </c>
      <c r="V122" s="357"/>
      <c r="W122" s="365">
        <f t="shared" si="112"/>
        <v>228420</v>
      </c>
      <c r="X122" s="366">
        <f t="shared" si="106"/>
        <v>123350</v>
      </c>
      <c r="Y122" s="366">
        <f t="shared" si="107"/>
        <v>91420</v>
      </c>
      <c r="Z122" s="366">
        <f t="shared" si="108"/>
        <v>9380</v>
      </c>
      <c r="AA122" s="366">
        <f t="shared" si="109"/>
        <v>28780</v>
      </c>
      <c r="AB122" s="366">
        <f t="shared" si="110"/>
        <v>21740</v>
      </c>
      <c r="AC122" s="367">
        <f t="shared" si="103"/>
        <v>503090</v>
      </c>
    </row>
    <row r="123" spans="1:29" s="331" customFormat="1" ht="11.25" customHeight="1">
      <c r="A123" s="332"/>
      <c r="B123" s="332"/>
      <c r="C123" s="332"/>
      <c r="D123" s="332"/>
      <c r="E123" s="332"/>
      <c r="F123" s="333"/>
      <c r="G123" s="333"/>
      <c r="H123" s="333"/>
      <c r="I123" s="333"/>
      <c r="J123" s="333"/>
      <c r="K123" s="334"/>
      <c r="L123" s="334"/>
      <c r="M123" s="334"/>
      <c r="N123" s="335"/>
      <c r="T123" s="333"/>
      <c r="U123" s="333"/>
      <c r="V123" s="337"/>
      <c r="W123" s="333"/>
      <c r="X123" s="333"/>
      <c r="Y123" s="333"/>
      <c r="Z123" s="333"/>
      <c r="AA123" s="333"/>
      <c r="AC123" s="372"/>
    </row>
    <row r="124" spans="1:29" s="331" customFormat="1" ht="16.5" customHeight="1">
      <c r="A124" s="332"/>
      <c r="B124" s="332"/>
      <c r="C124" s="332"/>
      <c r="D124" s="332"/>
      <c r="E124" s="332"/>
      <c r="F124" s="333"/>
      <c r="G124" s="333"/>
      <c r="H124" s="333"/>
      <c r="I124" s="333"/>
      <c r="J124" s="333"/>
      <c r="K124" s="334"/>
      <c r="L124" s="334"/>
      <c r="M124" s="334"/>
      <c r="N124" s="335"/>
      <c r="T124" s="333"/>
      <c r="U124" s="333"/>
      <c r="V124" s="337"/>
      <c r="W124" s="333"/>
      <c r="X124" s="333"/>
      <c r="Y124" s="333"/>
      <c r="Z124" s="333"/>
      <c r="AA124" s="333"/>
      <c r="AC124" s="372"/>
    </row>
    <row r="125" spans="1:29" s="331" customFormat="1" ht="16.5" customHeight="1">
      <c r="A125" s="332"/>
      <c r="B125" s="332"/>
      <c r="C125" s="332"/>
      <c r="D125" s="332"/>
      <c r="E125" s="332"/>
      <c r="F125" s="333"/>
      <c r="G125" s="333"/>
      <c r="H125" s="333"/>
      <c r="I125" s="333"/>
      <c r="J125" s="333"/>
      <c r="K125" s="334"/>
      <c r="L125" s="334"/>
      <c r="M125" s="334"/>
      <c r="N125" s="335"/>
      <c r="T125" s="333"/>
      <c r="U125" s="333"/>
      <c r="V125" s="337"/>
      <c r="W125" s="333"/>
      <c r="X125" s="333"/>
      <c r="Y125" s="333"/>
      <c r="Z125" s="333"/>
      <c r="AA125" s="333"/>
      <c r="AC125" s="372"/>
    </row>
    <row r="126" spans="1:29" s="331" customFormat="1" ht="16.5" customHeight="1">
      <c r="A126" s="332"/>
      <c r="B126" s="332"/>
      <c r="C126" s="332"/>
      <c r="D126" s="332"/>
      <c r="E126" s="332"/>
      <c r="F126" s="333"/>
      <c r="G126" s="333"/>
      <c r="H126" s="333"/>
      <c r="I126" s="333"/>
      <c r="J126" s="333"/>
      <c r="K126" s="334"/>
      <c r="L126" s="334"/>
      <c r="M126" s="334"/>
      <c r="N126" s="335"/>
      <c r="T126" s="333"/>
      <c r="U126" s="333"/>
      <c r="V126" s="337"/>
      <c r="W126" s="333"/>
      <c r="X126" s="333"/>
      <c r="Y126" s="333"/>
      <c r="Z126" s="333"/>
      <c r="AA126" s="333"/>
      <c r="AC126" s="372"/>
    </row>
    <row r="127" spans="1:29" s="331" customFormat="1" ht="16.5" customHeight="1">
      <c r="A127" s="332"/>
      <c r="B127" s="332"/>
      <c r="C127" s="332"/>
      <c r="D127" s="332"/>
      <c r="E127" s="332"/>
      <c r="F127" s="333"/>
      <c r="G127" s="333"/>
      <c r="H127" s="333"/>
      <c r="I127" s="333"/>
      <c r="J127" s="333"/>
      <c r="K127" s="334"/>
      <c r="L127" s="334"/>
      <c r="M127" s="334"/>
      <c r="N127" s="335"/>
      <c r="T127" s="333"/>
      <c r="U127" s="333"/>
      <c r="V127" s="337"/>
      <c r="W127" s="333"/>
      <c r="X127" s="333"/>
      <c r="Y127" s="333"/>
      <c r="Z127" s="333"/>
      <c r="AA127" s="333"/>
      <c r="AC127" s="372"/>
    </row>
    <row r="128" spans="1:29" s="331" customFormat="1" ht="16.5" customHeight="1">
      <c r="A128" s="332"/>
      <c r="B128" s="332"/>
      <c r="C128" s="332"/>
      <c r="D128" s="332"/>
      <c r="E128" s="332"/>
      <c r="F128" s="333"/>
      <c r="G128" s="333"/>
      <c r="H128" s="333"/>
      <c r="I128" s="333"/>
      <c r="J128" s="333"/>
      <c r="K128" s="334"/>
      <c r="L128" s="334"/>
      <c r="M128" s="334"/>
      <c r="N128" s="335"/>
      <c r="T128" s="333"/>
      <c r="U128" s="333"/>
      <c r="V128" s="337"/>
      <c r="W128" s="333"/>
      <c r="X128" s="333"/>
      <c r="Y128" s="333"/>
      <c r="Z128" s="333"/>
      <c r="AA128" s="333"/>
      <c r="AC128" s="372"/>
    </row>
    <row r="129" spans="1:29" s="331" customFormat="1" ht="16.5" customHeight="1">
      <c r="A129" s="332"/>
      <c r="B129" s="332"/>
      <c r="C129" s="332"/>
      <c r="D129" s="332"/>
      <c r="E129" s="332"/>
      <c r="F129" s="333"/>
      <c r="G129" s="333"/>
      <c r="H129" s="333"/>
      <c r="I129" s="333"/>
      <c r="J129" s="333"/>
      <c r="K129" s="334"/>
      <c r="L129" s="334"/>
      <c r="M129" s="334"/>
      <c r="N129" s="335"/>
      <c r="T129" s="333"/>
      <c r="U129" s="333"/>
      <c r="V129" s="337"/>
      <c r="W129" s="333"/>
      <c r="X129" s="333"/>
      <c r="Y129" s="333"/>
      <c r="Z129" s="333"/>
      <c r="AA129" s="333"/>
      <c r="AC129" s="372"/>
    </row>
    <row r="130" spans="1:29" s="331" customFormat="1" ht="16.5" customHeight="1">
      <c r="A130" s="332"/>
      <c r="B130" s="332"/>
      <c r="C130" s="332"/>
      <c r="D130" s="332"/>
      <c r="E130" s="332"/>
      <c r="F130" s="333"/>
      <c r="G130" s="333"/>
      <c r="H130" s="333"/>
      <c r="I130" s="333"/>
      <c r="J130" s="333"/>
      <c r="K130" s="334"/>
      <c r="L130" s="334"/>
      <c r="M130" s="334"/>
      <c r="N130" s="335"/>
      <c r="T130" s="333"/>
      <c r="U130" s="333"/>
      <c r="V130" s="337"/>
      <c r="W130" s="333"/>
      <c r="X130" s="333"/>
      <c r="Y130" s="333"/>
      <c r="Z130" s="333"/>
      <c r="AA130" s="333"/>
      <c r="AC130" s="372"/>
    </row>
    <row r="131" spans="1:29" s="331" customFormat="1" ht="16.5" customHeight="1">
      <c r="A131" s="332"/>
      <c r="B131" s="332"/>
      <c r="C131" s="332"/>
      <c r="D131" s="332"/>
      <c r="E131" s="332"/>
      <c r="F131" s="333"/>
      <c r="G131" s="333"/>
      <c r="H131" s="333"/>
      <c r="I131" s="333"/>
      <c r="J131" s="333"/>
      <c r="K131" s="334"/>
      <c r="L131" s="334"/>
      <c r="M131" s="334"/>
      <c r="N131" s="335"/>
      <c r="T131" s="333"/>
      <c r="U131" s="333"/>
      <c r="V131" s="337"/>
      <c r="W131" s="333"/>
      <c r="X131" s="333"/>
      <c r="Y131" s="333"/>
      <c r="Z131" s="333"/>
      <c r="AA131" s="333"/>
      <c r="AC131" s="372"/>
    </row>
    <row r="132" spans="1:29" s="331" customFormat="1" ht="16.5" customHeight="1">
      <c r="A132" s="332"/>
      <c r="B132" s="332"/>
      <c r="C132" s="332"/>
      <c r="D132" s="332"/>
      <c r="E132" s="332"/>
      <c r="F132" s="333"/>
      <c r="G132" s="333"/>
      <c r="H132" s="333"/>
      <c r="I132" s="333"/>
      <c r="J132" s="333"/>
      <c r="K132" s="334"/>
      <c r="L132" s="334"/>
      <c r="M132" s="334"/>
      <c r="N132" s="335"/>
      <c r="T132" s="333"/>
      <c r="U132" s="333"/>
      <c r="V132" s="337"/>
      <c r="W132" s="333"/>
      <c r="X132" s="333"/>
      <c r="Y132" s="333"/>
      <c r="Z132" s="333"/>
      <c r="AA132" s="333"/>
      <c r="AC132" s="372"/>
    </row>
    <row r="133" spans="1:29" s="331" customFormat="1" ht="16.5" customHeight="1">
      <c r="A133" s="332"/>
      <c r="B133" s="332"/>
      <c r="C133" s="332"/>
      <c r="D133" s="332"/>
      <c r="E133" s="332"/>
      <c r="F133" s="333"/>
      <c r="G133" s="333"/>
      <c r="H133" s="333"/>
      <c r="I133" s="333"/>
      <c r="J133" s="333"/>
      <c r="K133" s="334"/>
      <c r="L133" s="334"/>
      <c r="M133" s="334"/>
      <c r="N133" s="335"/>
      <c r="T133" s="333"/>
      <c r="U133" s="333"/>
      <c r="V133" s="337"/>
      <c r="W133" s="333"/>
      <c r="X133" s="333"/>
      <c r="Y133" s="333"/>
      <c r="Z133" s="333"/>
      <c r="AA133" s="333"/>
      <c r="AC133" s="372"/>
    </row>
    <row r="134" spans="1:29" s="331" customFormat="1" ht="16.5" customHeight="1">
      <c r="A134" s="332"/>
      <c r="B134" s="332"/>
      <c r="C134" s="332"/>
      <c r="D134" s="332"/>
      <c r="E134" s="332"/>
      <c r="F134" s="333"/>
      <c r="G134" s="333"/>
      <c r="H134" s="333"/>
      <c r="I134" s="333"/>
      <c r="J134" s="333"/>
      <c r="K134" s="334"/>
      <c r="L134" s="334"/>
      <c r="M134" s="334"/>
      <c r="N134" s="335"/>
      <c r="T134" s="333"/>
      <c r="U134" s="333"/>
      <c r="V134" s="337"/>
      <c r="W134" s="333"/>
      <c r="X134" s="333"/>
      <c r="Y134" s="333"/>
      <c r="Z134" s="333"/>
      <c r="AA134" s="333"/>
      <c r="AC134" s="372"/>
    </row>
    <row r="135" spans="1:29" s="331" customFormat="1" ht="16.5" customHeight="1">
      <c r="A135" s="332"/>
      <c r="B135" s="332"/>
      <c r="C135" s="332"/>
      <c r="D135" s="332"/>
      <c r="E135" s="332"/>
      <c r="F135" s="333"/>
      <c r="G135" s="333"/>
      <c r="H135" s="333"/>
      <c r="I135" s="333"/>
      <c r="J135" s="333"/>
      <c r="K135" s="334"/>
      <c r="L135" s="334"/>
      <c r="M135" s="334"/>
      <c r="N135" s="335"/>
      <c r="T135" s="333"/>
      <c r="U135" s="333"/>
      <c r="V135" s="337"/>
      <c r="W135" s="333"/>
      <c r="X135" s="333"/>
      <c r="Y135" s="333"/>
      <c r="Z135" s="333"/>
      <c r="AA135" s="333"/>
      <c r="AC135" s="372"/>
    </row>
    <row r="136" spans="1:29" s="331" customFormat="1" ht="16.5" customHeight="1">
      <c r="A136" s="332"/>
      <c r="B136" s="332"/>
      <c r="C136" s="332"/>
      <c r="D136" s="332"/>
      <c r="E136" s="332"/>
      <c r="F136" s="333"/>
      <c r="G136" s="333"/>
      <c r="H136" s="333"/>
      <c r="I136" s="333"/>
      <c r="J136" s="333"/>
      <c r="K136" s="334"/>
      <c r="L136" s="334"/>
      <c r="M136" s="334"/>
      <c r="N136" s="335"/>
      <c r="T136" s="333"/>
      <c r="U136" s="333"/>
      <c r="V136" s="337"/>
      <c r="W136" s="333"/>
      <c r="X136" s="333"/>
      <c r="Y136" s="333"/>
      <c r="Z136" s="333"/>
      <c r="AA136" s="333"/>
      <c r="AC136" s="372"/>
    </row>
    <row r="137" spans="1:29" s="331" customFormat="1" ht="16.5" customHeight="1">
      <c r="A137" s="332"/>
      <c r="B137" s="332"/>
      <c r="C137" s="332"/>
      <c r="D137" s="332"/>
      <c r="E137" s="332"/>
      <c r="F137" s="333"/>
      <c r="G137" s="333"/>
      <c r="H137" s="333"/>
      <c r="I137" s="333"/>
      <c r="J137" s="333"/>
      <c r="K137" s="334"/>
      <c r="L137" s="334"/>
      <c r="M137" s="334"/>
      <c r="N137" s="335"/>
      <c r="T137" s="333"/>
      <c r="U137" s="333"/>
      <c r="V137" s="337"/>
      <c r="W137" s="333"/>
      <c r="X137" s="333"/>
      <c r="Y137" s="333"/>
      <c r="Z137" s="333"/>
      <c r="AA137" s="333"/>
      <c r="AC137" s="372"/>
    </row>
    <row r="138" spans="1:29" s="331" customFormat="1" ht="16.5" customHeight="1">
      <c r="A138" s="332"/>
      <c r="B138" s="332"/>
      <c r="C138" s="332"/>
      <c r="D138" s="332"/>
      <c r="E138" s="332"/>
      <c r="F138" s="333"/>
      <c r="G138" s="333"/>
      <c r="H138" s="333"/>
      <c r="I138" s="333"/>
      <c r="J138" s="333"/>
      <c r="K138" s="334"/>
      <c r="L138" s="334"/>
      <c r="M138" s="334"/>
      <c r="N138" s="335"/>
      <c r="T138" s="333"/>
      <c r="U138" s="333"/>
      <c r="V138" s="337"/>
      <c r="W138" s="333"/>
      <c r="X138" s="333"/>
      <c r="Y138" s="333"/>
      <c r="Z138" s="333"/>
      <c r="AA138" s="333"/>
      <c r="AC138" s="372"/>
    </row>
    <row r="139" spans="1:29" s="331" customFormat="1" ht="16.5" customHeight="1">
      <c r="A139" s="332"/>
      <c r="B139" s="332"/>
      <c r="C139" s="332"/>
      <c r="D139" s="332"/>
      <c r="E139" s="332"/>
      <c r="F139" s="333"/>
      <c r="G139" s="333"/>
      <c r="H139" s="333"/>
      <c r="I139" s="333"/>
      <c r="J139" s="333"/>
      <c r="K139" s="334"/>
      <c r="L139" s="334"/>
      <c r="M139" s="334"/>
      <c r="N139" s="335"/>
      <c r="T139" s="333"/>
      <c r="U139" s="333"/>
      <c r="V139" s="337"/>
      <c r="W139" s="333"/>
      <c r="X139" s="333"/>
      <c r="Y139" s="333"/>
      <c r="Z139" s="333"/>
      <c r="AA139" s="333"/>
      <c r="AC139" s="372"/>
    </row>
  </sheetData>
  <mergeCells count="12">
    <mergeCell ref="A110:A122"/>
    <mergeCell ref="A1:M1"/>
    <mergeCell ref="A3:B3"/>
    <mergeCell ref="A5:E5"/>
    <mergeCell ref="A6:A18"/>
    <mergeCell ref="A19:A31"/>
    <mergeCell ref="A32:A44"/>
    <mergeCell ref="A45:A57"/>
    <mergeCell ref="A58:A70"/>
    <mergeCell ref="A71:A83"/>
    <mergeCell ref="A84:A96"/>
    <mergeCell ref="A97:A109"/>
  </mergeCells>
  <phoneticPr fontId="65" type="noConversion"/>
  <pageMargins left="0.14000000059604645" right="0.15722222626209259" top="0.36000001430511475" bottom="0.19666667282581329" header="0.15722222626209259" footer="0.15722222626209259"/>
  <pageSetup paperSize="9" scale="60" orientation="landscape" horizontalDpi="4294967293" verticalDpi="4294967293" r:id="rId1"/>
</worksheet>
</file>

<file path=xl/worksheets/sheet1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14"/>
  <dimension ref="A1:AB126"/>
  <sheetViews>
    <sheetView view="pageBreakPreview" zoomScale="60" zoomScaleNormal="100" workbookViewId="0">
      <pane xSplit="5" ySplit="5" topLeftCell="F6" activePane="bottomRight" state="frozen"/>
      <selection pane="topRight"/>
      <selection pane="bottomLeft"/>
      <selection pane="bottomRight" activeCell="V5" sqref="V5"/>
    </sheetView>
  </sheetViews>
  <sheetFormatPr defaultColWidth="9" defaultRowHeight="13.5"/>
  <cols>
    <col min="1" max="1" width="4.125" style="174" customWidth="1"/>
    <col min="2" max="2" width="11.625" style="174" customWidth="1"/>
    <col min="3" max="3" width="5.75" style="174" customWidth="1"/>
    <col min="4" max="4" width="3.375" style="174" customWidth="1"/>
    <col min="5" max="5" width="9" style="174"/>
    <col min="6" max="6" width="17.75" style="174" customWidth="1"/>
    <col min="7" max="12" width="17.75" style="174" hidden="1" customWidth="1"/>
    <col min="13" max="13" width="17.75" style="174" customWidth="1"/>
    <col min="14" max="18" width="17.75" style="174" hidden="1" customWidth="1"/>
    <col min="19" max="19" width="17.75" style="174" customWidth="1"/>
    <col min="20" max="20" width="10" style="373" customWidth="1"/>
    <col min="21" max="21" width="13.875" style="174" customWidth="1"/>
    <col min="22" max="27" width="14.625" style="174" customWidth="1"/>
    <col min="28" max="28" width="14.875" style="174" customWidth="1"/>
    <col min="29" max="16384" width="9" style="174"/>
  </cols>
  <sheetData>
    <row r="1" spans="1:27" s="331" customFormat="1" ht="36" customHeight="1">
      <c r="A1" s="374" t="s">
        <v>189</v>
      </c>
      <c r="B1" s="374"/>
      <c r="C1" s="374"/>
      <c r="D1" s="374"/>
      <c r="E1" s="374"/>
      <c r="F1" s="374"/>
      <c r="G1" s="374"/>
      <c r="H1" s="374"/>
      <c r="I1" s="374"/>
      <c r="J1" s="328"/>
      <c r="K1" s="328"/>
      <c r="L1" s="328"/>
      <c r="M1" s="328"/>
      <c r="N1" s="328"/>
      <c r="O1" s="328"/>
      <c r="P1" s="328"/>
      <c r="Q1" s="328"/>
      <c r="R1" s="328"/>
      <c r="S1" s="328"/>
      <c r="T1" s="330"/>
      <c r="U1" s="328"/>
      <c r="V1" s="328"/>
      <c r="W1" s="328"/>
      <c r="X1" s="328"/>
      <c r="Y1" s="328"/>
      <c r="Z1" s="328"/>
      <c r="AA1" s="328"/>
    </row>
    <row r="2" spans="1:27" s="331" customFormat="1" ht="14.25" customHeight="1">
      <c r="A2" s="328"/>
      <c r="B2" s="328"/>
      <c r="C2" s="328"/>
      <c r="D2" s="328"/>
      <c r="E2" s="328"/>
      <c r="F2" s="328"/>
      <c r="G2" s="328"/>
      <c r="H2" s="328"/>
      <c r="I2" s="328"/>
      <c r="J2" s="328"/>
      <c r="K2" s="328"/>
      <c r="L2" s="328"/>
      <c r="M2" s="328"/>
      <c r="N2" s="328"/>
      <c r="O2" s="328"/>
      <c r="P2" s="328"/>
      <c r="Q2" s="328"/>
      <c r="R2" s="328"/>
      <c r="S2" s="328"/>
      <c r="T2" s="330"/>
      <c r="U2" s="328"/>
      <c r="V2" s="328"/>
      <c r="W2" s="328"/>
      <c r="X2" s="328"/>
      <c r="Y2" s="328"/>
      <c r="Z2" s="328"/>
      <c r="AA2" s="328"/>
    </row>
    <row r="3" spans="1:27" s="331" customFormat="1" ht="27.75" customHeight="1">
      <c r="A3" s="1039" t="s">
        <v>324</v>
      </c>
      <c r="B3" s="1039"/>
      <c r="C3" s="1039"/>
      <c r="D3" s="1039"/>
      <c r="E3" s="1039"/>
      <c r="F3" s="333"/>
      <c r="G3" s="333"/>
      <c r="H3" s="333"/>
      <c r="I3" s="333"/>
      <c r="J3" s="333"/>
      <c r="K3" s="334"/>
      <c r="L3" s="334"/>
      <c r="M3" s="334"/>
      <c r="N3" s="335"/>
      <c r="O3" s="336"/>
      <c r="P3" s="336"/>
      <c r="Q3" s="336"/>
      <c r="R3" s="333"/>
      <c r="S3" s="333"/>
      <c r="T3" s="337"/>
      <c r="U3" s="333"/>
      <c r="V3" s="333"/>
      <c r="W3" s="333"/>
      <c r="X3" s="333"/>
      <c r="Y3" s="333"/>
      <c r="Z3" s="336"/>
      <c r="AA3" s="338" t="s">
        <v>210</v>
      </c>
    </row>
    <row r="4" spans="1:27" s="332" customFormat="1" ht="44.25" customHeight="1">
      <c r="A4" s="375" t="s">
        <v>170</v>
      </c>
      <c r="B4" s="376" t="s">
        <v>171</v>
      </c>
      <c r="C4" s="376" t="s">
        <v>69</v>
      </c>
      <c r="D4" s="376" t="s">
        <v>158</v>
      </c>
      <c r="E4" s="376" t="s">
        <v>309</v>
      </c>
      <c r="F4" s="377" t="s">
        <v>168</v>
      </c>
      <c r="G4" s="378" t="s">
        <v>535</v>
      </c>
      <c r="H4" s="378" t="s">
        <v>226</v>
      </c>
      <c r="I4" s="378" t="s">
        <v>222</v>
      </c>
      <c r="J4" s="376" t="s">
        <v>190</v>
      </c>
      <c r="K4" s="378" t="s">
        <v>228</v>
      </c>
      <c r="L4" s="378" t="s">
        <v>506</v>
      </c>
      <c r="M4" s="378" t="s">
        <v>511</v>
      </c>
      <c r="N4" s="378" t="s">
        <v>239</v>
      </c>
      <c r="O4" s="378" t="s">
        <v>533</v>
      </c>
      <c r="P4" s="378" t="s">
        <v>191</v>
      </c>
      <c r="Q4" s="378" t="s">
        <v>319</v>
      </c>
      <c r="R4" s="378" t="s">
        <v>48</v>
      </c>
      <c r="S4" s="379" t="s">
        <v>322</v>
      </c>
      <c r="T4" s="380" t="s">
        <v>316</v>
      </c>
      <c r="U4" s="381" t="s">
        <v>464</v>
      </c>
      <c r="V4" s="382" t="s">
        <v>438</v>
      </c>
      <c r="W4" s="382" t="s">
        <v>491</v>
      </c>
      <c r="X4" s="383" t="s">
        <v>21</v>
      </c>
      <c r="Y4" s="379" t="s">
        <v>452</v>
      </c>
      <c r="Z4" s="383" t="s">
        <v>467</v>
      </c>
      <c r="AA4" s="384" t="s">
        <v>327</v>
      </c>
    </row>
    <row r="5" spans="1:27" s="352" customFormat="1" ht="41.25" customHeight="1">
      <c r="A5" s="1044" t="s">
        <v>353</v>
      </c>
      <c r="B5" s="1045"/>
      <c r="C5" s="1045"/>
      <c r="D5" s="1045"/>
      <c r="E5" s="1046"/>
      <c r="F5" s="349"/>
      <c r="G5" s="349">
        <f t="shared" ref="G5:S5" si="0">G6+G19+G32</f>
        <v>0</v>
      </c>
      <c r="H5" s="349">
        <f t="shared" si="0"/>
        <v>0</v>
      </c>
      <c r="I5" s="349">
        <f t="shared" si="0"/>
        <v>0</v>
      </c>
      <c r="J5" s="349">
        <f t="shared" si="0"/>
        <v>0</v>
      </c>
      <c r="K5" s="349">
        <f t="shared" si="0"/>
        <v>0</v>
      </c>
      <c r="L5" s="349">
        <f t="shared" si="0"/>
        <v>0</v>
      </c>
      <c r="M5" s="349">
        <f t="shared" si="0"/>
        <v>2196000</v>
      </c>
      <c r="N5" s="349">
        <f t="shared" si="0"/>
        <v>0</v>
      </c>
      <c r="O5" s="349">
        <f t="shared" si="0"/>
        <v>0</v>
      </c>
      <c r="P5" s="349">
        <f t="shared" si="0"/>
        <v>0</v>
      </c>
      <c r="Q5" s="349">
        <f t="shared" si="0"/>
        <v>0</v>
      </c>
      <c r="R5" s="349">
        <f t="shared" si="0"/>
        <v>0</v>
      </c>
      <c r="S5" s="349">
        <f t="shared" si="0"/>
        <v>24156000</v>
      </c>
      <c r="T5" s="385"/>
      <c r="U5" s="386">
        <f t="shared" ref="U5:AA5" si="1">U6+U19+U32</f>
        <v>2013000</v>
      </c>
      <c r="V5" s="351">
        <f t="shared" si="1"/>
        <v>1087020</v>
      </c>
      <c r="W5" s="351">
        <f t="shared" si="1"/>
        <v>805700</v>
      </c>
      <c r="X5" s="349">
        <f t="shared" si="1"/>
        <v>82620</v>
      </c>
      <c r="Y5" s="349">
        <f t="shared" si="1"/>
        <v>253680</v>
      </c>
      <c r="Z5" s="349">
        <f t="shared" si="1"/>
        <v>191540</v>
      </c>
      <c r="AA5" s="387">
        <f t="shared" si="1"/>
        <v>4433560</v>
      </c>
    </row>
    <row r="6" spans="1:27" s="332" customFormat="1" ht="41.25" customHeight="1">
      <c r="A6" s="1047">
        <v>1</v>
      </c>
      <c r="B6" s="353" t="s">
        <v>152</v>
      </c>
      <c r="C6" s="353">
        <v>1</v>
      </c>
      <c r="D6" s="353">
        <v>1</v>
      </c>
      <c r="E6" s="355" t="s">
        <v>164</v>
      </c>
      <c r="F6" s="356">
        <f t="shared" ref="F6:S6" si="2">SUM(F7:F18)</f>
        <v>21960000</v>
      </c>
      <c r="G6" s="356">
        <f t="shared" si="2"/>
        <v>0</v>
      </c>
      <c r="H6" s="356">
        <f t="shared" si="2"/>
        <v>0</v>
      </c>
      <c r="I6" s="356">
        <f t="shared" si="2"/>
        <v>0</v>
      </c>
      <c r="J6" s="356">
        <f t="shared" si="2"/>
        <v>0</v>
      </c>
      <c r="K6" s="356">
        <f t="shared" si="2"/>
        <v>0</v>
      </c>
      <c r="L6" s="356">
        <f t="shared" si="2"/>
        <v>0</v>
      </c>
      <c r="M6" s="356">
        <f t="shared" si="2"/>
        <v>2196000</v>
      </c>
      <c r="N6" s="356">
        <f t="shared" si="2"/>
        <v>0</v>
      </c>
      <c r="O6" s="356">
        <f t="shared" si="2"/>
        <v>0</v>
      </c>
      <c r="P6" s="356">
        <f t="shared" si="2"/>
        <v>0</v>
      </c>
      <c r="Q6" s="356">
        <f t="shared" si="2"/>
        <v>0</v>
      </c>
      <c r="R6" s="356">
        <f t="shared" si="2"/>
        <v>0</v>
      </c>
      <c r="S6" s="356">
        <f t="shared" si="2"/>
        <v>24156000</v>
      </c>
      <c r="T6" s="388"/>
      <c r="U6" s="389">
        <f t="shared" ref="U6:AA6" si="3">SUM(U7:U18)</f>
        <v>2013000</v>
      </c>
      <c r="V6" s="358">
        <f t="shared" si="3"/>
        <v>1087020</v>
      </c>
      <c r="W6" s="358">
        <f t="shared" si="3"/>
        <v>805700</v>
      </c>
      <c r="X6" s="358">
        <f t="shared" si="3"/>
        <v>82620</v>
      </c>
      <c r="Y6" s="358">
        <f t="shared" si="3"/>
        <v>253680</v>
      </c>
      <c r="Z6" s="358">
        <f t="shared" si="3"/>
        <v>191540</v>
      </c>
      <c r="AA6" s="390">
        <f t="shared" si="3"/>
        <v>4433560</v>
      </c>
    </row>
    <row r="7" spans="1:27" s="332" customFormat="1" ht="16.5" customHeight="1">
      <c r="A7" s="1048"/>
      <c r="B7" s="353"/>
      <c r="C7" s="353">
        <v>1</v>
      </c>
      <c r="D7" s="353"/>
      <c r="E7" s="368" t="s">
        <v>94</v>
      </c>
      <c r="F7" s="364">
        <v>1830000</v>
      </c>
      <c r="G7" s="363"/>
      <c r="H7" s="364"/>
      <c r="I7" s="363"/>
      <c r="J7" s="363"/>
      <c r="K7" s="363"/>
      <c r="L7" s="363"/>
      <c r="M7" s="363"/>
      <c r="N7" s="363"/>
      <c r="O7" s="363"/>
      <c r="P7" s="363"/>
      <c r="Q7" s="363"/>
      <c r="R7" s="363" t="s">
        <v>58</v>
      </c>
      <c r="S7" s="356">
        <f t="shared" ref="S7:S18" si="4">SUM(F7:R7)</f>
        <v>1830000</v>
      </c>
      <c r="T7" s="357"/>
      <c r="U7" s="391">
        <f t="shared" ref="U7:U18" si="5">ROUND(S7*1/12,-1)</f>
        <v>152500</v>
      </c>
      <c r="V7" s="365">
        <f t="shared" ref="V7:V18" si="6">ROUND(S7*4.5%,-1)</f>
        <v>82350</v>
      </c>
      <c r="W7" s="365">
        <f>ROUNDUP((S7-J7)*6.67%*1/2,-1)</f>
        <v>61040</v>
      </c>
      <c r="X7" s="366">
        <f>ROUNDUP(W7*10.25%,-1)</f>
        <v>6260</v>
      </c>
      <c r="Y7" s="366">
        <f>ROUND(S7*1.05%,-1)</f>
        <v>19220</v>
      </c>
      <c r="Z7" s="366">
        <f>ROUND(S7*0.793%,-1)</f>
        <v>14510</v>
      </c>
      <c r="AA7" s="392">
        <f t="shared" ref="AA7:AA18" si="7">SUM(U7:Z7)</f>
        <v>335880</v>
      </c>
    </row>
    <row r="8" spans="1:27" s="332" customFormat="1" ht="16.5" customHeight="1">
      <c r="A8" s="1048"/>
      <c r="B8" s="353"/>
      <c r="C8" s="353"/>
      <c r="D8" s="353"/>
      <c r="E8" s="368" t="s">
        <v>150</v>
      </c>
      <c r="F8" s="363">
        <f>F7</f>
        <v>1830000</v>
      </c>
      <c r="G8" s="363"/>
      <c r="H8" s="363"/>
      <c r="I8" s="363"/>
      <c r="J8" s="363"/>
      <c r="K8" s="363"/>
      <c r="L8" s="363"/>
      <c r="M8" s="363">
        <f>F8*60%</f>
        <v>1098000</v>
      </c>
      <c r="N8" s="363"/>
      <c r="O8" s="363"/>
      <c r="P8" s="363"/>
      <c r="Q8" s="363"/>
      <c r="R8" s="363" t="str">
        <f t="shared" ref="R8:R18" si="8">R7</f>
        <v>-</v>
      </c>
      <c r="S8" s="356">
        <f t="shared" si="4"/>
        <v>2928000</v>
      </c>
      <c r="T8" s="357"/>
      <c r="U8" s="391">
        <f t="shared" si="5"/>
        <v>244000</v>
      </c>
      <c r="V8" s="365">
        <f t="shared" si="6"/>
        <v>131760</v>
      </c>
      <c r="W8" s="365">
        <f t="shared" ref="W8:W71" si="9">ROUNDUP((S8-J8)*6.67%*1/2,-1)</f>
        <v>97650</v>
      </c>
      <c r="X8" s="366">
        <f t="shared" ref="X8:X71" si="10">ROUNDUP(W8*10.25%,-1)</f>
        <v>10010</v>
      </c>
      <c r="Y8" s="366">
        <f t="shared" ref="Y8:Y71" si="11">ROUND(S8*1.05%,-1)</f>
        <v>30740</v>
      </c>
      <c r="Z8" s="366">
        <f t="shared" ref="Z8:Z18" si="12">ROUND(S8*0.793%,-1)</f>
        <v>23220</v>
      </c>
      <c r="AA8" s="392">
        <f t="shared" si="7"/>
        <v>537380</v>
      </c>
    </row>
    <row r="9" spans="1:27" s="332" customFormat="1" ht="16.5" customHeight="1">
      <c r="A9" s="1048"/>
      <c r="B9" s="353"/>
      <c r="C9" s="353"/>
      <c r="D9" s="353"/>
      <c r="E9" s="368" t="s">
        <v>82</v>
      </c>
      <c r="F9" s="363">
        <f>F8</f>
        <v>1830000</v>
      </c>
      <c r="G9" s="363"/>
      <c r="H9" s="363"/>
      <c r="I9" s="363"/>
      <c r="J9" s="363"/>
      <c r="K9" s="363"/>
      <c r="L9" s="363"/>
      <c r="M9" s="363"/>
      <c r="N9" s="363"/>
      <c r="O9" s="363"/>
      <c r="P9" s="363"/>
      <c r="Q9" s="363"/>
      <c r="R9" s="363" t="str">
        <f t="shared" si="8"/>
        <v>-</v>
      </c>
      <c r="S9" s="356">
        <f t="shared" si="4"/>
        <v>1830000</v>
      </c>
      <c r="T9" s="357"/>
      <c r="U9" s="391">
        <f t="shared" si="5"/>
        <v>152500</v>
      </c>
      <c r="V9" s="365">
        <f t="shared" si="6"/>
        <v>82350</v>
      </c>
      <c r="W9" s="365">
        <f t="shared" si="9"/>
        <v>61040</v>
      </c>
      <c r="X9" s="366">
        <f t="shared" si="10"/>
        <v>6260</v>
      </c>
      <c r="Y9" s="366">
        <f t="shared" si="11"/>
        <v>19220</v>
      </c>
      <c r="Z9" s="366">
        <f t="shared" si="12"/>
        <v>14510</v>
      </c>
      <c r="AA9" s="392">
        <f t="shared" si="7"/>
        <v>335880</v>
      </c>
    </row>
    <row r="10" spans="1:27" s="332" customFormat="1" ht="16.5" customHeight="1">
      <c r="A10" s="1048"/>
      <c r="B10" s="353"/>
      <c r="C10" s="353"/>
      <c r="D10" s="353"/>
      <c r="E10" s="368" t="s">
        <v>159</v>
      </c>
      <c r="F10" s="363">
        <f>F9</f>
        <v>1830000</v>
      </c>
      <c r="G10" s="363"/>
      <c r="H10" s="363"/>
      <c r="I10" s="363"/>
      <c r="J10" s="363"/>
      <c r="K10" s="363"/>
      <c r="L10" s="363"/>
      <c r="M10" s="363"/>
      <c r="N10" s="363"/>
      <c r="O10" s="363"/>
      <c r="P10" s="363"/>
      <c r="Q10" s="363"/>
      <c r="R10" s="363" t="str">
        <f t="shared" si="8"/>
        <v>-</v>
      </c>
      <c r="S10" s="356">
        <f t="shared" si="4"/>
        <v>1830000</v>
      </c>
      <c r="T10" s="357"/>
      <c r="U10" s="391">
        <f t="shared" si="5"/>
        <v>152500</v>
      </c>
      <c r="V10" s="365">
        <f t="shared" si="6"/>
        <v>82350</v>
      </c>
      <c r="W10" s="365">
        <f t="shared" si="9"/>
        <v>61040</v>
      </c>
      <c r="X10" s="366">
        <f t="shared" si="10"/>
        <v>6260</v>
      </c>
      <c r="Y10" s="366">
        <f t="shared" si="11"/>
        <v>19220</v>
      </c>
      <c r="Z10" s="366">
        <f t="shared" si="12"/>
        <v>14510</v>
      </c>
      <c r="AA10" s="392">
        <f t="shared" si="7"/>
        <v>335880</v>
      </c>
    </row>
    <row r="11" spans="1:27" s="332" customFormat="1" ht="16.5" customHeight="1">
      <c r="A11" s="1048"/>
      <c r="B11" s="353"/>
      <c r="C11" s="353"/>
      <c r="D11" s="353"/>
      <c r="E11" s="368" t="s">
        <v>61</v>
      </c>
      <c r="F11" s="363">
        <f t="shared" ref="F11:F17" si="13">F10</f>
        <v>1830000</v>
      </c>
      <c r="G11" s="363"/>
      <c r="H11" s="363"/>
      <c r="I11" s="363"/>
      <c r="J11" s="363"/>
      <c r="K11" s="363"/>
      <c r="L11" s="363"/>
      <c r="M11" s="363"/>
      <c r="N11" s="363"/>
      <c r="O11" s="363"/>
      <c r="P11" s="363"/>
      <c r="Q11" s="363"/>
      <c r="R11" s="363" t="str">
        <f t="shared" si="8"/>
        <v>-</v>
      </c>
      <c r="S11" s="356">
        <f t="shared" si="4"/>
        <v>1830000</v>
      </c>
      <c r="T11" s="357"/>
      <c r="U11" s="391">
        <f t="shared" si="5"/>
        <v>152500</v>
      </c>
      <c r="V11" s="365">
        <f t="shared" si="6"/>
        <v>82350</v>
      </c>
      <c r="W11" s="365">
        <f t="shared" si="9"/>
        <v>61040</v>
      </c>
      <c r="X11" s="366">
        <f t="shared" si="10"/>
        <v>6260</v>
      </c>
      <c r="Y11" s="366">
        <f t="shared" si="11"/>
        <v>19220</v>
      </c>
      <c r="Z11" s="366">
        <f t="shared" si="12"/>
        <v>14510</v>
      </c>
      <c r="AA11" s="392">
        <f t="shared" si="7"/>
        <v>335880</v>
      </c>
    </row>
    <row r="12" spans="1:27" s="332" customFormat="1" ht="16.5" customHeight="1">
      <c r="A12" s="1048"/>
      <c r="B12" s="353"/>
      <c r="C12" s="353"/>
      <c r="D12" s="353"/>
      <c r="E12" s="368" t="s">
        <v>156</v>
      </c>
      <c r="F12" s="363">
        <f t="shared" si="13"/>
        <v>1830000</v>
      </c>
      <c r="G12" s="363"/>
      <c r="H12" s="363"/>
      <c r="I12" s="363"/>
      <c r="J12" s="363"/>
      <c r="K12" s="363"/>
      <c r="L12" s="363"/>
      <c r="M12" s="363"/>
      <c r="N12" s="363"/>
      <c r="O12" s="363"/>
      <c r="P12" s="363"/>
      <c r="Q12" s="363"/>
      <c r="R12" s="363" t="str">
        <f t="shared" si="8"/>
        <v>-</v>
      </c>
      <c r="S12" s="356">
        <f t="shared" si="4"/>
        <v>1830000</v>
      </c>
      <c r="T12" s="357"/>
      <c r="U12" s="391">
        <f t="shared" si="5"/>
        <v>152500</v>
      </c>
      <c r="V12" s="365">
        <f t="shared" si="6"/>
        <v>82350</v>
      </c>
      <c r="W12" s="365">
        <f t="shared" si="9"/>
        <v>61040</v>
      </c>
      <c r="X12" s="366">
        <f t="shared" si="10"/>
        <v>6260</v>
      </c>
      <c r="Y12" s="366">
        <f t="shared" si="11"/>
        <v>19220</v>
      </c>
      <c r="Z12" s="366">
        <f t="shared" si="12"/>
        <v>14510</v>
      </c>
      <c r="AA12" s="392">
        <f t="shared" si="7"/>
        <v>335880</v>
      </c>
    </row>
    <row r="13" spans="1:27" s="332" customFormat="1" ht="16.5" customHeight="1">
      <c r="A13" s="1048"/>
      <c r="B13" s="353"/>
      <c r="C13" s="353"/>
      <c r="D13" s="353"/>
      <c r="E13" s="368" t="s">
        <v>136</v>
      </c>
      <c r="F13" s="363">
        <f t="shared" si="13"/>
        <v>1830000</v>
      </c>
      <c r="G13" s="363"/>
      <c r="H13" s="364"/>
      <c r="I13" s="363"/>
      <c r="J13" s="363"/>
      <c r="K13" s="363"/>
      <c r="L13" s="363"/>
      <c r="M13" s="363"/>
      <c r="N13" s="363"/>
      <c r="O13" s="363"/>
      <c r="P13" s="363"/>
      <c r="Q13" s="363"/>
      <c r="R13" s="363" t="str">
        <f t="shared" si="8"/>
        <v>-</v>
      </c>
      <c r="S13" s="356">
        <f t="shared" si="4"/>
        <v>1830000</v>
      </c>
      <c r="T13" s="357"/>
      <c r="U13" s="391">
        <f t="shared" si="5"/>
        <v>152500</v>
      </c>
      <c r="V13" s="365">
        <f t="shared" si="6"/>
        <v>82350</v>
      </c>
      <c r="W13" s="365">
        <f t="shared" si="9"/>
        <v>61040</v>
      </c>
      <c r="X13" s="366">
        <f t="shared" si="10"/>
        <v>6260</v>
      </c>
      <c r="Y13" s="366">
        <f t="shared" si="11"/>
        <v>19220</v>
      </c>
      <c r="Z13" s="366">
        <f t="shared" si="12"/>
        <v>14510</v>
      </c>
      <c r="AA13" s="392">
        <f t="shared" si="7"/>
        <v>335880</v>
      </c>
    </row>
    <row r="14" spans="1:27" s="332" customFormat="1" ht="16.5" customHeight="1">
      <c r="A14" s="1048"/>
      <c r="B14" s="353"/>
      <c r="C14" s="353"/>
      <c r="D14" s="353"/>
      <c r="E14" s="368" t="s">
        <v>84</v>
      </c>
      <c r="F14" s="363">
        <f t="shared" si="13"/>
        <v>1830000</v>
      </c>
      <c r="G14" s="363"/>
      <c r="H14" s="363"/>
      <c r="I14" s="363"/>
      <c r="J14" s="363"/>
      <c r="K14" s="363"/>
      <c r="L14" s="363"/>
      <c r="M14" s="363"/>
      <c r="N14" s="363"/>
      <c r="O14" s="363"/>
      <c r="P14" s="363"/>
      <c r="Q14" s="363"/>
      <c r="R14" s="363" t="str">
        <f t="shared" si="8"/>
        <v>-</v>
      </c>
      <c r="S14" s="356">
        <f t="shared" si="4"/>
        <v>1830000</v>
      </c>
      <c r="T14" s="357"/>
      <c r="U14" s="391">
        <f t="shared" si="5"/>
        <v>152500</v>
      </c>
      <c r="V14" s="365">
        <f t="shared" si="6"/>
        <v>82350</v>
      </c>
      <c r="W14" s="365">
        <f t="shared" si="9"/>
        <v>61040</v>
      </c>
      <c r="X14" s="366">
        <f t="shared" si="10"/>
        <v>6260</v>
      </c>
      <c r="Y14" s="366">
        <f t="shared" si="11"/>
        <v>19220</v>
      </c>
      <c r="Z14" s="366">
        <f t="shared" si="12"/>
        <v>14510</v>
      </c>
      <c r="AA14" s="392">
        <f t="shared" si="7"/>
        <v>335880</v>
      </c>
    </row>
    <row r="15" spans="1:27" s="332" customFormat="1" ht="16.5" customHeight="1">
      <c r="A15" s="1048"/>
      <c r="B15" s="353"/>
      <c r="C15" s="353"/>
      <c r="D15" s="353"/>
      <c r="E15" s="368" t="s">
        <v>67</v>
      </c>
      <c r="F15" s="363">
        <f t="shared" si="13"/>
        <v>1830000</v>
      </c>
      <c r="G15" s="363"/>
      <c r="H15" s="363"/>
      <c r="I15" s="363"/>
      <c r="J15" s="363"/>
      <c r="K15" s="363"/>
      <c r="L15" s="363"/>
      <c r="M15" s="363">
        <f>F15*60%</f>
        <v>1098000</v>
      </c>
      <c r="N15" s="363"/>
      <c r="O15" s="363"/>
      <c r="P15" s="363"/>
      <c r="Q15" s="363"/>
      <c r="R15" s="363" t="str">
        <f t="shared" si="8"/>
        <v>-</v>
      </c>
      <c r="S15" s="356">
        <f t="shared" si="4"/>
        <v>2928000</v>
      </c>
      <c r="T15" s="357"/>
      <c r="U15" s="391">
        <f t="shared" si="5"/>
        <v>244000</v>
      </c>
      <c r="V15" s="365">
        <f t="shared" si="6"/>
        <v>131760</v>
      </c>
      <c r="W15" s="365">
        <f t="shared" si="9"/>
        <v>97650</v>
      </c>
      <c r="X15" s="366">
        <f t="shared" si="10"/>
        <v>10010</v>
      </c>
      <c r="Y15" s="366">
        <f t="shared" si="11"/>
        <v>30740</v>
      </c>
      <c r="Z15" s="366">
        <f t="shared" si="12"/>
        <v>23220</v>
      </c>
      <c r="AA15" s="392">
        <f t="shared" si="7"/>
        <v>537380</v>
      </c>
    </row>
    <row r="16" spans="1:27" s="332" customFormat="1" ht="16.5" customHeight="1">
      <c r="A16" s="1048"/>
      <c r="B16" s="353"/>
      <c r="C16" s="353"/>
      <c r="D16" s="353"/>
      <c r="E16" s="368" t="s">
        <v>54</v>
      </c>
      <c r="F16" s="363">
        <f t="shared" si="13"/>
        <v>1830000</v>
      </c>
      <c r="G16" s="363"/>
      <c r="H16" s="363"/>
      <c r="I16" s="363"/>
      <c r="J16" s="363"/>
      <c r="K16" s="363"/>
      <c r="L16" s="363"/>
      <c r="M16" s="363"/>
      <c r="N16" s="363"/>
      <c r="O16" s="363"/>
      <c r="P16" s="363"/>
      <c r="Q16" s="363"/>
      <c r="R16" s="363" t="str">
        <f t="shared" si="8"/>
        <v>-</v>
      </c>
      <c r="S16" s="356">
        <f t="shared" si="4"/>
        <v>1830000</v>
      </c>
      <c r="T16" s="357"/>
      <c r="U16" s="391">
        <f t="shared" si="5"/>
        <v>152500</v>
      </c>
      <c r="V16" s="365">
        <f t="shared" si="6"/>
        <v>82350</v>
      </c>
      <c r="W16" s="365">
        <f t="shared" si="9"/>
        <v>61040</v>
      </c>
      <c r="X16" s="366">
        <f t="shared" si="10"/>
        <v>6260</v>
      </c>
      <c r="Y16" s="366">
        <f t="shared" si="11"/>
        <v>19220</v>
      </c>
      <c r="Z16" s="366">
        <f t="shared" si="12"/>
        <v>14510</v>
      </c>
      <c r="AA16" s="392">
        <f t="shared" si="7"/>
        <v>335880</v>
      </c>
    </row>
    <row r="17" spans="1:27" s="332" customFormat="1" ht="16.5" customHeight="1">
      <c r="A17" s="1048"/>
      <c r="B17" s="353"/>
      <c r="C17" s="353"/>
      <c r="D17" s="353"/>
      <c r="E17" s="368" t="s">
        <v>55</v>
      </c>
      <c r="F17" s="363">
        <f t="shared" si="13"/>
        <v>1830000</v>
      </c>
      <c r="G17" s="363"/>
      <c r="H17" s="363"/>
      <c r="I17" s="363"/>
      <c r="J17" s="363"/>
      <c r="K17" s="363"/>
      <c r="L17" s="363"/>
      <c r="M17" s="363"/>
      <c r="N17" s="363"/>
      <c r="O17" s="363"/>
      <c r="P17" s="363"/>
      <c r="Q17" s="363"/>
      <c r="R17" s="363" t="str">
        <f t="shared" si="8"/>
        <v>-</v>
      </c>
      <c r="S17" s="356">
        <f t="shared" si="4"/>
        <v>1830000</v>
      </c>
      <c r="T17" s="357"/>
      <c r="U17" s="391">
        <f t="shared" si="5"/>
        <v>152500</v>
      </c>
      <c r="V17" s="365">
        <f t="shared" si="6"/>
        <v>82350</v>
      </c>
      <c r="W17" s="365">
        <f t="shared" si="9"/>
        <v>61040</v>
      </c>
      <c r="X17" s="366">
        <f t="shared" si="10"/>
        <v>6260</v>
      </c>
      <c r="Y17" s="366">
        <f t="shared" si="11"/>
        <v>19220</v>
      </c>
      <c r="Z17" s="366">
        <f t="shared" si="12"/>
        <v>14510</v>
      </c>
      <c r="AA17" s="392">
        <f t="shared" si="7"/>
        <v>335880</v>
      </c>
    </row>
    <row r="18" spans="1:27" s="332" customFormat="1" ht="16.5" customHeight="1">
      <c r="A18" s="1049"/>
      <c r="B18" s="393"/>
      <c r="C18" s="393"/>
      <c r="D18" s="393"/>
      <c r="E18" s="394" t="s">
        <v>179</v>
      </c>
      <c r="F18" s="395">
        <f>F17</f>
        <v>1830000</v>
      </c>
      <c r="G18" s="395"/>
      <c r="H18" s="395"/>
      <c r="I18" s="395"/>
      <c r="J18" s="395"/>
      <c r="K18" s="395"/>
      <c r="L18" s="395"/>
      <c r="M18" s="395"/>
      <c r="N18" s="395"/>
      <c r="O18" s="395"/>
      <c r="P18" s="395"/>
      <c r="Q18" s="395"/>
      <c r="R18" s="395" t="str">
        <f t="shared" si="8"/>
        <v>-</v>
      </c>
      <c r="S18" s="396">
        <f t="shared" si="4"/>
        <v>1830000</v>
      </c>
      <c r="T18" s="397"/>
      <c r="U18" s="398">
        <f t="shared" si="5"/>
        <v>152500</v>
      </c>
      <c r="V18" s="399">
        <f t="shared" si="6"/>
        <v>82350</v>
      </c>
      <c r="W18" s="399">
        <f t="shared" si="9"/>
        <v>61040</v>
      </c>
      <c r="X18" s="400">
        <f t="shared" si="10"/>
        <v>6260</v>
      </c>
      <c r="Y18" s="400">
        <f t="shared" si="11"/>
        <v>19220</v>
      </c>
      <c r="Z18" s="400">
        <f t="shared" si="12"/>
        <v>14510</v>
      </c>
      <c r="AA18" s="401">
        <f t="shared" si="7"/>
        <v>335880</v>
      </c>
    </row>
    <row r="19" spans="1:27" s="332" customFormat="1" ht="41.25" hidden="1" customHeight="1">
      <c r="A19" s="1048">
        <v>1</v>
      </c>
      <c r="B19" s="402" t="s">
        <v>64</v>
      </c>
      <c r="C19" s="402" t="s">
        <v>180</v>
      </c>
      <c r="D19" s="402">
        <v>1</v>
      </c>
      <c r="E19" s="403" t="s">
        <v>164</v>
      </c>
      <c r="F19" s="404">
        <f t="shared" ref="F19:S19" si="14">SUM(F20:F31)</f>
        <v>0</v>
      </c>
      <c r="G19" s="404">
        <f t="shared" si="14"/>
        <v>0</v>
      </c>
      <c r="H19" s="404">
        <f t="shared" si="14"/>
        <v>0</v>
      </c>
      <c r="I19" s="404">
        <f t="shared" si="14"/>
        <v>0</v>
      </c>
      <c r="J19" s="404">
        <f t="shared" si="14"/>
        <v>0</v>
      </c>
      <c r="K19" s="404">
        <f t="shared" si="14"/>
        <v>0</v>
      </c>
      <c r="L19" s="404">
        <f t="shared" si="14"/>
        <v>0</v>
      </c>
      <c r="M19" s="404">
        <f t="shared" si="14"/>
        <v>0</v>
      </c>
      <c r="N19" s="404">
        <f t="shared" si="14"/>
        <v>0</v>
      </c>
      <c r="O19" s="404">
        <f t="shared" si="14"/>
        <v>0</v>
      </c>
      <c r="P19" s="404">
        <f t="shared" si="14"/>
        <v>0</v>
      </c>
      <c r="Q19" s="404">
        <f t="shared" si="14"/>
        <v>0</v>
      </c>
      <c r="R19" s="404">
        <f t="shared" si="14"/>
        <v>0</v>
      </c>
      <c r="S19" s="404">
        <f t="shared" si="14"/>
        <v>0</v>
      </c>
      <c r="T19" s="405" t="s">
        <v>312</v>
      </c>
      <c r="U19" s="406">
        <f t="shared" ref="U19:AA19" si="15">SUM(U20:U31)</f>
        <v>0</v>
      </c>
      <c r="V19" s="407">
        <f t="shared" si="15"/>
        <v>0</v>
      </c>
      <c r="W19" s="408">
        <f t="shared" si="9"/>
        <v>0</v>
      </c>
      <c r="X19" s="409">
        <f t="shared" si="10"/>
        <v>0</v>
      </c>
      <c r="Y19" s="409">
        <f t="shared" si="11"/>
        <v>0</v>
      </c>
      <c r="Z19" s="404">
        <f t="shared" si="15"/>
        <v>0</v>
      </c>
      <c r="AA19" s="410">
        <f t="shared" si="15"/>
        <v>0</v>
      </c>
    </row>
    <row r="20" spans="1:27" s="332" customFormat="1" ht="16.5" hidden="1" customHeight="1">
      <c r="A20" s="1048"/>
      <c r="B20" s="353"/>
      <c r="C20" s="353">
        <v>3</v>
      </c>
      <c r="D20" s="353"/>
      <c r="E20" s="368" t="s">
        <v>94</v>
      </c>
      <c r="F20" s="364"/>
      <c r="G20" s="363"/>
      <c r="H20" s="364"/>
      <c r="I20" s="363"/>
      <c r="J20" s="363"/>
      <c r="K20" s="363"/>
      <c r="L20" s="363"/>
      <c r="M20" s="363"/>
      <c r="N20" s="363"/>
      <c r="O20" s="363"/>
      <c r="P20" s="363"/>
      <c r="Q20" s="363"/>
      <c r="R20" s="363" t="s">
        <v>58</v>
      </c>
      <c r="S20" s="356">
        <f t="shared" ref="S20:S31" si="16">SUM(F20:R20)</f>
        <v>0</v>
      </c>
      <c r="T20" s="357"/>
      <c r="U20" s="391">
        <f t="shared" ref="U20:U31" si="17">ROUND(S20*1/12,-1)</f>
        <v>0</v>
      </c>
      <c r="V20" s="365">
        <f t="shared" ref="V20:V31" si="18">ROUND(S20*4.5%,-1)</f>
        <v>0</v>
      </c>
      <c r="W20" s="365">
        <f t="shared" si="9"/>
        <v>0</v>
      </c>
      <c r="X20" s="366">
        <f t="shared" si="10"/>
        <v>0</v>
      </c>
      <c r="Y20" s="366">
        <f t="shared" si="11"/>
        <v>0</v>
      </c>
      <c r="Z20" s="366">
        <f>ROUND(S20*0.7%,-1)</f>
        <v>0</v>
      </c>
      <c r="AA20" s="367">
        <f t="shared" ref="AA20:AA31" si="19">SUM(U20:Z20)</f>
        <v>0</v>
      </c>
    </row>
    <row r="21" spans="1:27" s="332" customFormat="1" ht="16.5" hidden="1" customHeight="1">
      <c r="A21" s="1048"/>
      <c r="B21" s="353"/>
      <c r="C21" s="353"/>
      <c r="D21" s="353"/>
      <c r="E21" s="368" t="s">
        <v>150</v>
      </c>
      <c r="F21" s="363"/>
      <c r="G21" s="363"/>
      <c r="H21" s="363"/>
      <c r="I21" s="363"/>
      <c r="J21" s="363"/>
      <c r="K21" s="363"/>
      <c r="L21" s="363"/>
      <c r="M21" s="363"/>
      <c r="N21" s="363"/>
      <c r="O21" s="363"/>
      <c r="P21" s="363"/>
      <c r="Q21" s="363"/>
      <c r="R21" s="363" t="str">
        <f t="shared" ref="R21:R31" si="20">R20</f>
        <v>-</v>
      </c>
      <c r="S21" s="356">
        <f t="shared" si="16"/>
        <v>0</v>
      </c>
      <c r="T21" s="357"/>
      <c r="U21" s="391">
        <f t="shared" si="17"/>
        <v>0</v>
      </c>
      <c r="V21" s="365">
        <f t="shared" si="18"/>
        <v>0</v>
      </c>
      <c r="W21" s="365">
        <f t="shared" si="9"/>
        <v>0</v>
      </c>
      <c r="X21" s="366">
        <f t="shared" si="10"/>
        <v>0</v>
      </c>
      <c r="Y21" s="366">
        <f t="shared" si="11"/>
        <v>0</v>
      </c>
      <c r="Z21" s="366">
        <f t="shared" ref="Z21:Z31" si="21">ROUND(S21*0.7%,-1)</f>
        <v>0</v>
      </c>
      <c r="AA21" s="367">
        <f t="shared" si="19"/>
        <v>0</v>
      </c>
    </row>
    <row r="22" spans="1:27" s="332" customFormat="1" ht="16.5" hidden="1" customHeight="1">
      <c r="A22" s="1048"/>
      <c r="B22" s="353"/>
      <c r="C22" s="353"/>
      <c r="D22" s="353"/>
      <c r="E22" s="368" t="s">
        <v>82</v>
      </c>
      <c r="F22" s="363"/>
      <c r="G22" s="363"/>
      <c r="H22" s="363"/>
      <c r="I22" s="363"/>
      <c r="J22" s="363"/>
      <c r="K22" s="363"/>
      <c r="L22" s="363"/>
      <c r="M22" s="363"/>
      <c r="N22" s="363"/>
      <c r="O22" s="363"/>
      <c r="P22" s="363"/>
      <c r="Q22" s="363"/>
      <c r="R22" s="363" t="str">
        <f t="shared" si="20"/>
        <v>-</v>
      </c>
      <c r="S22" s="356">
        <f t="shared" si="16"/>
        <v>0</v>
      </c>
      <c r="T22" s="357"/>
      <c r="U22" s="391">
        <f t="shared" si="17"/>
        <v>0</v>
      </c>
      <c r="V22" s="365">
        <f t="shared" si="18"/>
        <v>0</v>
      </c>
      <c r="W22" s="365">
        <f t="shared" si="9"/>
        <v>0</v>
      </c>
      <c r="X22" s="366">
        <f t="shared" si="10"/>
        <v>0</v>
      </c>
      <c r="Y22" s="366">
        <f t="shared" si="11"/>
        <v>0</v>
      </c>
      <c r="Z22" s="366">
        <f t="shared" si="21"/>
        <v>0</v>
      </c>
      <c r="AA22" s="367">
        <f t="shared" si="19"/>
        <v>0</v>
      </c>
    </row>
    <row r="23" spans="1:27" s="332" customFormat="1" ht="16.5" hidden="1" customHeight="1">
      <c r="A23" s="1048"/>
      <c r="B23" s="353"/>
      <c r="C23" s="353"/>
      <c r="D23" s="353"/>
      <c r="E23" s="368" t="s">
        <v>159</v>
      </c>
      <c r="F23" s="363"/>
      <c r="G23" s="363"/>
      <c r="H23" s="363"/>
      <c r="I23" s="363"/>
      <c r="J23" s="363"/>
      <c r="K23" s="363"/>
      <c r="L23" s="363"/>
      <c r="M23" s="363"/>
      <c r="N23" s="363"/>
      <c r="O23" s="363"/>
      <c r="P23" s="363"/>
      <c r="Q23" s="363"/>
      <c r="R23" s="363" t="str">
        <f t="shared" si="20"/>
        <v>-</v>
      </c>
      <c r="S23" s="356">
        <f t="shared" si="16"/>
        <v>0</v>
      </c>
      <c r="T23" s="357"/>
      <c r="U23" s="391">
        <f t="shared" si="17"/>
        <v>0</v>
      </c>
      <c r="V23" s="365">
        <f t="shared" si="18"/>
        <v>0</v>
      </c>
      <c r="W23" s="365">
        <f t="shared" si="9"/>
        <v>0</v>
      </c>
      <c r="X23" s="366">
        <f t="shared" si="10"/>
        <v>0</v>
      </c>
      <c r="Y23" s="366">
        <f t="shared" si="11"/>
        <v>0</v>
      </c>
      <c r="Z23" s="366">
        <f t="shared" si="21"/>
        <v>0</v>
      </c>
      <c r="AA23" s="367">
        <f t="shared" si="19"/>
        <v>0</v>
      </c>
    </row>
    <row r="24" spans="1:27" s="332" customFormat="1" ht="16.5" hidden="1" customHeight="1">
      <c r="A24" s="1048"/>
      <c r="B24" s="353"/>
      <c r="C24" s="353"/>
      <c r="D24" s="353"/>
      <c r="E24" s="368" t="s">
        <v>61</v>
      </c>
      <c r="F24" s="363"/>
      <c r="G24" s="363"/>
      <c r="H24" s="363"/>
      <c r="I24" s="363"/>
      <c r="J24" s="363"/>
      <c r="K24" s="363"/>
      <c r="L24" s="363"/>
      <c r="M24" s="363"/>
      <c r="N24" s="363"/>
      <c r="O24" s="363"/>
      <c r="P24" s="363"/>
      <c r="Q24" s="363"/>
      <c r="R24" s="363" t="str">
        <f t="shared" si="20"/>
        <v>-</v>
      </c>
      <c r="S24" s="356">
        <f t="shared" si="16"/>
        <v>0</v>
      </c>
      <c r="T24" s="357"/>
      <c r="U24" s="391">
        <f t="shared" si="17"/>
        <v>0</v>
      </c>
      <c r="V24" s="365">
        <f t="shared" si="18"/>
        <v>0</v>
      </c>
      <c r="W24" s="365">
        <f t="shared" si="9"/>
        <v>0</v>
      </c>
      <c r="X24" s="366">
        <f t="shared" si="10"/>
        <v>0</v>
      </c>
      <c r="Y24" s="366">
        <f t="shared" si="11"/>
        <v>0</v>
      </c>
      <c r="Z24" s="366">
        <f t="shared" si="21"/>
        <v>0</v>
      </c>
      <c r="AA24" s="367">
        <f t="shared" si="19"/>
        <v>0</v>
      </c>
    </row>
    <row r="25" spans="1:27" s="332" customFormat="1" ht="16.5" hidden="1" customHeight="1">
      <c r="A25" s="1048"/>
      <c r="B25" s="353"/>
      <c r="C25" s="353"/>
      <c r="D25" s="353"/>
      <c r="E25" s="368" t="s">
        <v>156</v>
      </c>
      <c r="F25" s="363"/>
      <c r="G25" s="363"/>
      <c r="H25" s="363"/>
      <c r="I25" s="363"/>
      <c r="J25" s="363"/>
      <c r="K25" s="363"/>
      <c r="L25" s="363"/>
      <c r="M25" s="363"/>
      <c r="N25" s="363"/>
      <c r="O25" s="363"/>
      <c r="P25" s="363"/>
      <c r="Q25" s="363"/>
      <c r="R25" s="363" t="str">
        <f t="shared" si="20"/>
        <v>-</v>
      </c>
      <c r="S25" s="356">
        <f t="shared" si="16"/>
        <v>0</v>
      </c>
      <c r="T25" s="357"/>
      <c r="U25" s="391">
        <f t="shared" si="17"/>
        <v>0</v>
      </c>
      <c r="V25" s="365">
        <f t="shared" si="18"/>
        <v>0</v>
      </c>
      <c r="W25" s="365">
        <f t="shared" si="9"/>
        <v>0</v>
      </c>
      <c r="X25" s="366">
        <f t="shared" si="10"/>
        <v>0</v>
      </c>
      <c r="Y25" s="366">
        <f t="shared" si="11"/>
        <v>0</v>
      </c>
      <c r="Z25" s="366">
        <f t="shared" si="21"/>
        <v>0</v>
      </c>
      <c r="AA25" s="367">
        <f t="shared" si="19"/>
        <v>0</v>
      </c>
    </row>
    <row r="26" spans="1:27" s="332" customFormat="1" ht="16.5" hidden="1" customHeight="1">
      <c r="A26" s="1048"/>
      <c r="B26" s="353"/>
      <c r="C26" s="353"/>
      <c r="D26" s="353"/>
      <c r="E26" s="368" t="s">
        <v>136</v>
      </c>
      <c r="F26" s="366"/>
      <c r="G26" s="363"/>
      <c r="H26" s="364"/>
      <c r="I26" s="363"/>
      <c r="J26" s="363"/>
      <c r="K26" s="363"/>
      <c r="L26" s="363"/>
      <c r="M26" s="363"/>
      <c r="N26" s="363"/>
      <c r="O26" s="363"/>
      <c r="P26" s="363"/>
      <c r="Q26" s="363"/>
      <c r="R26" s="363" t="str">
        <f t="shared" si="20"/>
        <v>-</v>
      </c>
      <c r="S26" s="356">
        <f t="shared" si="16"/>
        <v>0</v>
      </c>
      <c r="T26" s="357"/>
      <c r="U26" s="391">
        <f t="shared" si="17"/>
        <v>0</v>
      </c>
      <c r="V26" s="365">
        <f t="shared" si="18"/>
        <v>0</v>
      </c>
      <c r="W26" s="365">
        <f t="shared" si="9"/>
        <v>0</v>
      </c>
      <c r="X26" s="366">
        <f t="shared" si="10"/>
        <v>0</v>
      </c>
      <c r="Y26" s="366">
        <f t="shared" si="11"/>
        <v>0</v>
      </c>
      <c r="Z26" s="366">
        <f t="shared" si="21"/>
        <v>0</v>
      </c>
      <c r="AA26" s="367">
        <f t="shared" si="19"/>
        <v>0</v>
      </c>
    </row>
    <row r="27" spans="1:27" s="332" customFormat="1" ht="16.5" hidden="1" customHeight="1">
      <c r="A27" s="1048"/>
      <c r="B27" s="353"/>
      <c r="C27" s="353"/>
      <c r="D27" s="353"/>
      <c r="E27" s="368" t="s">
        <v>84</v>
      </c>
      <c r="F27" s="363"/>
      <c r="G27" s="363"/>
      <c r="H27" s="363"/>
      <c r="I27" s="363"/>
      <c r="J27" s="363"/>
      <c r="K27" s="363"/>
      <c r="L27" s="363"/>
      <c r="M27" s="363"/>
      <c r="N27" s="363"/>
      <c r="O27" s="363"/>
      <c r="P27" s="363"/>
      <c r="Q27" s="363"/>
      <c r="R27" s="363" t="str">
        <f t="shared" si="20"/>
        <v>-</v>
      </c>
      <c r="S27" s="356">
        <f t="shared" si="16"/>
        <v>0</v>
      </c>
      <c r="T27" s="357"/>
      <c r="U27" s="391">
        <f t="shared" si="17"/>
        <v>0</v>
      </c>
      <c r="V27" s="365">
        <f t="shared" si="18"/>
        <v>0</v>
      </c>
      <c r="W27" s="365">
        <f t="shared" si="9"/>
        <v>0</v>
      </c>
      <c r="X27" s="366">
        <f t="shared" si="10"/>
        <v>0</v>
      </c>
      <c r="Y27" s="366">
        <f t="shared" si="11"/>
        <v>0</v>
      </c>
      <c r="Z27" s="366">
        <f t="shared" si="21"/>
        <v>0</v>
      </c>
      <c r="AA27" s="367">
        <f t="shared" si="19"/>
        <v>0</v>
      </c>
    </row>
    <row r="28" spans="1:27" s="332" customFormat="1" ht="16.5" hidden="1" customHeight="1">
      <c r="A28" s="1048"/>
      <c r="B28" s="353"/>
      <c r="C28" s="353"/>
      <c r="D28" s="353"/>
      <c r="E28" s="368" t="s">
        <v>67</v>
      </c>
      <c r="F28" s="363"/>
      <c r="G28" s="363"/>
      <c r="H28" s="363"/>
      <c r="I28" s="363"/>
      <c r="J28" s="363"/>
      <c r="K28" s="363"/>
      <c r="L28" s="363"/>
      <c r="M28" s="363"/>
      <c r="N28" s="363"/>
      <c r="O28" s="363"/>
      <c r="P28" s="363"/>
      <c r="Q28" s="363"/>
      <c r="R28" s="363" t="str">
        <f t="shared" si="20"/>
        <v>-</v>
      </c>
      <c r="S28" s="356">
        <f t="shared" si="16"/>
        <v>0</v>
      </c>
      <c r="T28" s="357"/>
      <c r="U28" s="391">
        <f t="shared" si="17"/>
        <v>0</v>
      </c>
      <c r="V28" s="365">
        <f t="shared" si="18"/>
        <v>0</v>
      </c>
      <c r="W28" s="365">
        <f t="shared" si="9"/>
        <v>0</v>
      </c>
      <c r="X28" s="366">
        <f t="shared" si="10"/>
        <v>0</v>
      </c>
      <c r="Y28" s="366">
        <f t="shared" si="11"/>
        <v>0</v>
      </c>
      <c r="Z28" s="366">
        <f t="shared" si="21"/>
        <v>0</v>
      </c>
      <c r="AA28" s="367">
        <f t="shared" si="19"/>
        <v>0</v>
      </c>
    </row>
    <row r="29" spans="1:27" s="332" customFormat="1" ht="16.5" hidden="1" customHeight="1">
      <c r="A29" s="1048"/>
      <c r="B29" s="353"/>
      <c r="C29" s="353">
        <v>4</v>
      </c>
      <c r="D29" s="353"/>
      <c r="E29" s="368" t="s">
        <v>54</v>
      </c>
      <c r="F29" s="364"/>
      <c r="G29" s="363"/>
      <c r="H29" s="363"/>
      <c r="I29" s="364"/>
      <c r="J29" s="363"/>
      <c r="K29" s="363"/>
      <c r="L29" s="363"/>
      <c r="M29" s="363"/>
      <c r="N29" s="363"/>
      <c r="O29" s="363"/>
      <c r="P29" s="363"/>
      <c r="Q29" s="363"/>
      <c r="R29" s="363" t="str">
        <f t="shared" si="20"/>
        <v>-</v>
      </c>
      <c r="S29" s="356">
        <f t="shared" si="16"/>
        <v>0</v>
      </c>
      <c r="T29" s="357"/>
      <c r="U29" s="391">
        <f t="shared" si="17"/>
        <v>0</v>
      </c>
      <c r="V29" s="365">
        <f t="shared" si="18"/>
        <v>0</v>
      </c>
      <c r="W29" s="365">
        <f t="shared" si="9"/>
        <v>0</v>
      </c>
      <c r="X29" s="366">
        <f t="shared" si="10"/>
        <v>0</v>
      </c>
      <c r="Y29" s="366">
        <f t="shared" si="11"/>
        <v>0</v>
      </c>
      <c r="Z29" s="366">
        <f t="shared" si="21"/>
        <v>0</v>
      </c>
      <c r="AA29" s="367">
        <f t="shared" si="19"/>
        <v>0</v>
      </c>
    </row>
    <row r="30" spans="1:27" s="332" customFormat="1" ht="16.5" hidden="1" customHeight="1">
      <c r="A30" s="1048"/>
      <c r="B30" s="353"/>
      <c r="C30" s="353"/>
      <c r="D30" s="353"/>
      <c r="E30" s="368" t="s">
        <v>55</v>
      </c>
      <c r="F30" s="363"/>
      <c r="G30" s="363"/>
      <c r="H30" s="363"/>
      <c r="I30" s="363"/>
      <c r="J30" s="363"/>
      <c r="K30" s="363"/>
      <c r="L30" s="363"/>
      <c r="M30" s="363"/>
      <c r="N30" s="363"/>
      <c r="O30" s="363"/>
      <c r="P30" s="363"/>
      <c r="Q30" s="363"/>
      <c r="R30" s="363" t="str">
        <f t="shared" si="20"/>
        <v>-</v>
      </c>
      <c r="S30" s="356">
        <f t="shared" si="16"/>
        <v>0</v>
      </c>
      <c r="T30" s="357"/>
      <c r="U30" s="391">
        <f t="shared" si="17"/>
        <v>0</v>
      </c>
      <c r="V30" s="365">
        <f t="shared" si="18"/>
        <v>0</v>
      </c>
      <c r="W30" s="365">
        <f t="shared" si="9"/>
        <v>0</v>
      </c>
      <c r="X30" s="366">
        <f t="shared" si="10"/>
        <v>0</v>
      </c>
      <c r="Y30" s="366">
        <f t="shared" si="11"/>
        <v>0</v>
      </c>
      <c r="Z30" s="366">
        <f t="shared" si="21"/>
        <v>0</v>
      </c>
      <c r="AA30" s="367">
        <f t="shared" si="19"/>
        <v>0</v>
      </c>
    </row>
    <row r="31" spans="1:27" s="332" customFormat="1" ht="16.5" hidden="1" customHeight="1">
      <c r="A31" s="1050"/>
      <c r="B31" s="411"/>
      <c r="C31" s="411"/>
      <c r="D31" s="411"/>
      <c r="E31" s="412" t="s">
        <v>179</v>
      </c>
      <c r="F31" s="413"/>
      <c r="G31" s="413"/>
      <c r="H31" s="413"/>
      <c r="I31" s="413"/>
      <c r="J31" s="413"/>
      <c r="K31" s="413"/>
      <c r="L31" s="413"/>
      <c r="M31" s="413"/>
      <c r="N31" s="413"/>
      <c r="O31" s="413"/>
      <c r="P31" s="413"/>
      <c r="Q31" s="413"/>
      <c r="R31" s="413" t="str">
        <f t="shared" si="20"/>
        <v>-</v>
      </c>
      <c r="S31" s="414">
        <f t="shared" si="16"/>
        <v>0</v>
      </c>
      <c r="T31" s="415"/>
      <c r="U31" s="416">
        <f t="shared" si="17"/>
        <v>0</v>
      </c>
      <c r="V31" s="417">
        <f t="shared" si="18"/>
        <v>0</v>
      </c>
      <c r="W31" s="365">
        <f t="shared" si="9"/>
        <v>0</v>
      </c>
      <c r="X31" s="366">
        <f t="shared" si="10"/>
        <v>0</v>
      </c>
      <c r="Y31" s="366">
        <f t="shared" si="11"/>
        <v>0</v>
      </c>
      <c r="Z31" s="418">
        <f t="shared" si="21"/>
        <v>0</v>
      </c>
      <c r="AA31" s="419">
        <f t="shared" si="19"/>
        <v>0</v>
      </c>
    </row>
    <row r="32" spans="1:27" s="332" customFormat="1" ht="41.25" hidden="1" customHeight="1">
      <c r="A32" s="1047">
        <v>1</v>
      </c>
      <c r="B32" s="353" t="s">
        <v>319</v>
      </c>
      <c r="C32" s="353"/>
      <c r="D32" s="353">
        <v>9</v>
      </c>
      <c r="E32" s="355" t="s">
        <v>164</v>
      </c>
      <c r="F32" s="356">
        <f t="shared" ref="F32:S32" si="22">SUM(F33:F44)</f>
        <v>0</v>
      </c>
      <c r="G32" s="356">
        <f t="shared" si="22"/>
        <v>0</v>
      </c>
      <c r="H32" s="356">
        <f t="shared" si="22"/>
        <v>0</v>
      </c>
      <c r="I32" s="356">
        <f t="shared" si="22"/>
        <v>0</v>
      </c>
      <c r="J32" s="356">
        <f t="shared" si="22"/>
        <v>0</v>
      </c>
      <c r="K32" s="356">
        <f t="shared" si="22"/>
        <v>0</v>
      </c>
      <c r="L32" s="356">
        <f t="shared" si="22"/>
        <v>0</v>
      </c>
      <c r="M32" s="356">
        <f t="shared" si="22"/>
        <v>0</v>
      </c>
      <c r="N32" s="356">
        <f t="shared" si="22"/>
        <v>0</v>
      </c>
      <c r="O32" s="356">
        <f t="shared" si="22"/>
        <v>0</v>
      </c>
      <c r="P32" s="356">
        <f t="shared" si="22"/>
        <v>0</v>
      </c>
      <c r="Q32" s="356">
        <f t="shared" si="22"/>
        <v>0</v>
      </c>
      <c r="R32" s="356">
        <f t="shared" si="22"/>
        <v>0</v>
      </c>
      <c r="S32" s="356">
        <f t="shared" si="22"/>
        <v>0</v>
      </c>
      <c r="T32" s="357" t="s">
        <v>313</v>
      </c>
      <c r="U32" s="389">
        <f t="shared" ref="U32:AA32" si="23">SUM(U33:U44)</f>
        <v>0</v>
      </c>
      <c r="V32" s="358">
        <f t="shared" si="23"/>
        <v>0</v>
      </c>
      <c r="W32" s="365">
        <f t="shared" si="9"/>
        <v>0</v>
      </c>
      <c r="X32" s="366">
        <f t="shared" si="10"/>
        <v>0</v>
      </c>
      <c r="Y32" s="366">
        <f t="shared" si="11"/>
        <v>0</v>
      </c>
      <c r="Z32" s="404">
        <f t="shared" si="23"/>
        <v>0</v>
      </c>
      <c r="AA32" s="359">
        <f t="shared" si="23"/>
        <v>0</v>
      </c>
    </row>
    <row r="33" spans="1:28" s="332" customFormat="1" ht="16.5" hidden="1" customHeight="1">
      <c r="A33" s="1048"/>
      <c r="B33" s="353"/>
      <c r="C33" s="353"/>
      <c r="D33" s="353"/>
      <c r="E33" s="368" t="s">
        <v>174</v>
      </c>
      <c r="F33" s="364"/>
      <c r="G33" s="363"/>
      <c r="H33" s="364"/>
      <c r="I33" s="363"/>
      <c r="J33" s="363"/>
      <c r="K33" s="363"/>
      <c r="L33" s="363"/>
      <c r="M33" s="363"/>
      <c r="N33" s="363"/>
      <c r="O33" s="363"/>
      <c r="P33" s="363"/>
      <c r="Q33" s="363"/>
      <c r="R33" s="363" t="s">
        <v>58</v>
      </c>
      <c r="S33" s="356">
        <f t="shared" ref="S33:S44" si="24">SUM(F33:R33)</f>
        <v>0</v>
      </c>
      <c r="T33" s="357"/>
      <c r="U33" s="391">
        <f t="shared" ref="U33:U44" si="25">ROUND(S33*1/12,-1)</f>
        <v>0</v>
      </c>
      <c r="V33" s="365">
        <f t="shared" ref="V33:V44" si="26">ROUND(S33*4.5%,-1)</f>
        <v>0</v>
      </c>
      <c r="W33" s="365">
        <f t="shared" si="9"/>
        <v>0</v>
      </c>
      <c r="X33" s="366">
        <f t="shared" si="10"/>
        <v>0</v>
      </c>
      <c r="Y33" s="366">
        <f t="shared" si="11"/>
        <v>0</v>
      </c>
      <c r="Z33" s="366">
        <f>ROUND(S33*0.7%,-1)</f>
        <v>0</v>
      </c>
      <c r="AA33" s="367">
        <f t="shared" ref="AA33:AA44" si="27">SUM(U33:Z33)</f>
        <v>0</v>
      </c>
    </row>
    <row r="34" spans="1:28" s="332" customFormat="1" ht="16.5" hidden="1" customHeight="1">
      <c r="A34" s="1048"/>
      <c r="B34" s="353"/>
      <c r="C34" s="353"/>
      <c r="D34" s="353"/>
      <c r="E34" s="368" t="s">
        <v>503</v>
      </c>
      <c r="F34" s="363"/>
      <c r="G34" s="363"/>
      <c r="H34" s="363"/>
      <c r="I34" s="363"/>
      <c r="J34" s="363"/>
      <c r="K34" s="363"/>
      <c r="L34" s="363"/>
      <c r="M34" s="363"/>
      <c r="N34" s="363"/>
      <c r="O34" s="363"/>
      <c r="P34" s="363"/>
      <c r="Q34" s="363"/>
      <c r="R34" s="363" t="str">
        <f t="shared" ref="R34:R44" si="28">R33</f>
        <v>-</v>
      </c>
      <c r="S34" s="356">
        <f t="shared" si="24"/>
        <v>0</v>
      </c>
      <c r="T34" s="357"/>
      <c r="U34" s="391">
        <f t="shared" si="25"/>
        <v>0</v>
      </c>
      <c r="V34" s="365">
        <f t="shared" si="26"/>
        <v>0</v>
      </c>
      <c r="W34" s="365">
        <f t="shared" si="9"/>
        <v>0</v>
      </c>
      <c r="X34" s="366">
        <f t="shared" si="10"/>
        <v>0</v>
      </c>
      <c r="Y34" s="366">
        <f t="shared" si="11"/>
        <v>0</v>
      </c>
      <c r="Z34" s="366">
        <f t="shared" ref="Z34:Z44" si="29">ROUND(S34*0.7%,-1)</f>
        <v>0</v>
      </c>
      <c r="AA34" s="367">
        <f t="shared" si="27"/>
        <v>0</v>
      </c>
    </row>
    <row r="35" spans="1:28" s="332" customFormat="1" ht="16.5" hidden="1" customHeight="1">
      <c r="A35" s="1048"/>
      <c r="B35" s="353"/>
      <c r="C35" s="353"/>
      <c r="D35" s="353"/>
      <c r="E35" s="368" t="s">
        <v>310</v>
      </c>
      <c r="F35" s="363"/>
      <c r="G35" s="363"/>
      <c r="H35" s="363"/>
      <c r="I35" s="363"/>
      <c r="J35" s="363"/>
      <c r="K35" s="363"/>
      <c r="L35" s="363"/>
      <c r="M35" s="363"/>
      <c r="N35" s="363"/>
      <c r="O35" s="363"/>
      <c r="P35" s="363"/>
      <c r="Q35" s="363"/>
      <c r="R35" s="363" t="str">
        <f t="shared" si="28"/>
        <v>-</v>
      </c>
      <c r="S35" s="356">
        <f t="shared" si="24"/>
        <v>0</v>
      </c>
      <c r="T35" s="357"/>
      <c r="U35" s="391">
        <f t="shared" si="25"/>
        <v>0</v>
      </c>
      <c r="V35" s="365">
        <f t="shared" si="26"/>
        <v>0</v>
      </c>
      <c r="W35" s="365">
        <f t="shared" si="9"/>
        <v>0</v>
      </c>
      <c r="X35" s="366">
        <f t="shared" si="10"/>
        <v>0</v>
      </c>
      <c r="Y35" s="366">
        <f t="shared" si="11"/>
        <v>0</v>
      </c>
      <c r="Z35" s="366">
        <f t="shared" si="29"/>
        <v>0</v>
      </c>
      <c r="AA35" s="367">
        <f t="shared" si="27"/>
        <v>0</v>
      </c>
    </row>
    <row r="36" spans="1:28" s="332" customFormat="1" ht="16.5" hidden="1" customHeight="1">
      <c r="A36" s="1048"/>
      <c r="B36" s="353"/>
      <c r="C36" s="353"/>
      <c r="D36" s="353"/>
      <c r="E36" s="368" t="s">
        <v>340</v>
      </c>
      <c r="F36" s="363"/>
      <c r="G36" s="363"/>
      <c r="H36" s="363"/>
      <c r="I36" s="363"/>
      <c r="J36" s="363"/>
      <c r="K36" s="363"/>
      <c r="L36" s="363"/>
      <c r="M36" s="363"/>
      <c r="N36" s="363"/>
      <c r="O36" s="363"/>
      <c r="P36" s="363"/>
      <c r="Q36" s="363"/>
      <c r="R36" s="363" t="str">
        <f t="shared" si="28"/>
        <v>-</v>
      </c>
      <c r="S36" s="356">
        <f t="shared" si="24"/>
        <v>0</v>
      </c>
      <c r="T36" s="357"/>
      <c r="U36" s="391">
        <f t="shared" si="25"/>
        <v>0</v>
      </c>
      <c r="V36" s="365">
        <f t="shared" si="26"/>
        <v>0</v>
      </c>
      <c r="W36" s="365">
        <f t="shared" si="9"/>
        <v>0</v>
      </c>
      <c r="X36" s="366">
        <f t="shared" si="10"/>
        <v>0</v>
      </c>
      <c r="Y36" s="366">
        <f t="shared" si="11"/>
        <v>0</v>
      </c>
      <c r="Z36" s="366">
        <f t="shared" si="29"/>
        <v>0</v>
      </c>
      <c r="AA36" s="367">
        <f t="shared" si="27"/>
        <v>0</v>
      </c>
    </row>
    <row r="37" spans="1:28" s="332" customFormat="1" ht="16.5" hidden="1" customHeight="1">
      <c r="A37" s="1048"/>
      <c r="B37" s="353"/>
      <c r="C37" s="353"/>
      <c r="D37" s="353"/>
      <c r="E37" s="368" t="s">
        <v>332</v>
      </c>
      <c r="F37" s="363"/>
      <c r="G37" s="363"/>
      <c r="H37" s="363"/>
      <c r="I37" s="363"/>
      <c r="J37" s="363"/>
      <c r="K37" s="363"/>
      <c r="L37" s="363"/>
      <c r="M37" s="363"/>
      <c r="N37" s="363"/>
      <c r="O37" s="363"/>
      <c r="P37" s="363"/>
      <c r="Q37" s="363"/>
      <c r="R37" s="363" t="str">
        <f t="shared" si="28"/>
        <v>-</v>
      </c>
      <c r="S37" s="356">
        <f t="shared" si="24"/>
        <v>0</v>
      </c>
      <c r="T37" s="357" t="s">
        <v>315</v>
      </c>
      <c r="U37" s="391">
        <f t="shared" si="25"/>
        <v>0</v>
      </c>
      <c r="V37" s="365">
        <f t="shared" si="26"/>
        <v>0</v>
      </c>
      <c r="W37" s="365">
        <f t="shared" si="9"/>
        <v>0</v>
      </c>
      <c r="X37" s="366">
        <f t="shared" si="10"/>
        <v>0</v>
      </c>
      <c r="Y37" s="366">
        <f t="shared" si="11"/>
        <v>0</v>
      </c>
      <c r="Z37" s="366">
        <f t="shared" si="29"/>
        <v>0</v>
      </c>
      <c r="AA37" s="367">
        <f t="shared" si="27"/>
        <v>0</v>
      </c>
    </row>
    <row r="38" spans="1:28" s="332" customFormat="1" ht="16.5" hidden="1" customHeight="1">
      <c r="A38" s="1048"/>
      <c r="B38" s="353"/>
      <c r="C38" s="353"/>
      <c r="D38" s="353"/>
      <c r="E38" s="368"/>
      <c r="F38" s="363"/>
      <c r="G38" s="363"/>
      <c r="H38" s="363"/>
      <c r="I38" s="363"/>
      <c r="J38" s="363"/>
      <c r="K38" s="363"/>
      <c r="L38" s="363"/>
      <c r="M38" s="363"/>
      <c r="N38" s="363"/>
      <c r="O38" s="363"/>
      <c r="P38" s="363"/>
      <c r="Q38" s="363"/>
      <c r="R38" s="363" t="str">
        <f t="shared" si="28"/>
        <v>-</v>
      </c>
      <c r="S38" s="356">
        <f t="shared" si="24"/>
        <v>0</v>
      </c>
      <c r="T38" s="357"/>
      <c r="U38" s="391">
        <f t="shared" si="25"/>
        <v>0</v>
      </c>
      <c r="V38" s="365">
        <f t="shared" si="26"/>
        <v>0</v>
      </c>
      <c r="W38" s="365">
        <f t="shared" si="9"/>
        <v>0</v>
      </c>
      <c r="X38" s="366">
        <f t="shared" si="10"/>
        <v>0</v>
      </c>
      <c r="Y38" s="366">
        <f t="shared" si="11"/>
        <v>0</v>
      </c>
      <c r="Z38" s="366">
        <f t="shared" si="29"/>
        <v>0</v>
      </c>
      <c r="AA38" s="367">
        <f t="shared" si="27"/>
        <v>0</v>
      </c>
    </row>
    <row r="39" spans="1:28" s="332" customFormat="1" ht="16.5" hidden="1" customHeight="1">
      <c r="A39" s="1048"/>
      <c r="B39" s="353"/>
      <c r="C39" s="353"/>
      <c r="D39" s="353"/>
      <c r="E39" s="368"/>
      <c r="F39" s="366"/>
      <c r="G39" s="363"/>
      <c r="H39" s="364"/>
      <c r="I39" s="363"/>
      <c r="J39" s="363"/>
      <c r="K39" s="363"/>
      <c r="L39" s="363"/>
      <c r="M39" s="363"/>
      <c r="N39" s="363"/>
      <c r="O39" s="363"/>
      <c r="P39" s="363"/>
      <c r="Q39" s="363"/>
      <c r="R39" s="363" t="str">
        <f t="shared" si="28"/>
        <v>-</v>
      </c>
      <c r="S39" s="356">
        <f t="shared" si="24"/>
        <v>0</v>
      </c>
      <c r="T39" s="357"/>
      <c r="U39" s="391">
        <f t="shared" si="25"/>
        <v>0</v>
      </c>
      <c r="V39" s="365">
        <f t="shared" si="26"/>
        <v>0</v>
      </c>
      <c r="W39" s="365">
        <f t="shared" si="9"/>
        <v>0</v>
      </c>
      <c r="X39" s="366">
        <f t="shared" si="10"/>
        <v>0</v>
      </c>
      <c r="Y39" s="366">
        <f t="shared" si="11"/>
        <v>0</v>
      </c>
      <c r="Z39" s="366">
        <f t="shared" si="29"/>
        <v>0</v>
      </c>
      <c r="AA39" s="367">
        <f t="shared" si="27"/>
        <v>0</v>
      </c>
    </row>
    <row r="40" spans="1:28" s="332" customFormat="1" ht="16.5" hidden="1" customHeight="1">
      <c r="A40" s="1048"/>
      <c r="B40" s="353"/>
      <c r="C40" s="353"/>
      <c r="D40" s="353"/>
      <c r="E40" s="368"/>
      <c r="F40" s="363"/>
      <c r="G40" s="363"/>
      <c r="H40" s="363"/>
      <c r="I40" s="363"/>
      <c r="J40" s="363"/>
      <c r="K40" s="363"/>
      <c r="L40" s="363"/>
      <c r="M40" s="363"/>
      <c r="N40" s="363"/>
      <c r="O40" s="363"/>
      <c r="P40" s="363"/>
      <c r="Q40" s="363"/>
      <c r="R40" s="363" t="str">
        <f t="shared" si="28"/>
        <v>-</v>
      </c>
      <c r="S40" s="356">
        <f t="shared" si="24"/>
        <v>0</v>
      </c>
      <c r="T40" s="357"/>
      <c r="U40" s="391">
        <f t="shared" si="25"/>
        <v>0</v>
      </c>
      <c r="V40" s="365">
        <f t="shared" si="26"/>
        <v>0</v>
      </c>
      <c r="W40" s="365">
        <f t="shared" si="9"/>
        <v>0</v>
      </c>
      <c r="X40" s="366">
        <f t="shared" si="10"/>
        <v>0</v>
      </c>
      <c r="Y40" s="366">
        <f t="shared" si="11"/>
        <v>0</v>
      </c>
      <c r="Z40" s="366">
        <f t="shared" si="29"/>
        <v>0</v>
      </c>
      <c r="AA40" s="367">
        <f t="shared" si="27"/>
        <v>0</v>
      </c>
    </row>
    <row r="41" spans="1:28" s="332" customFormat="1" ht="16.5" hidden="1" customHeight="1">
      <c r="A41" s="1048"/>
      <c r="B41" s="353"/>
      <c r="C41" s="353"/>
      <c r="D41" s="353"/>
      <c r="E41" s="368"/>
      <c r="F41" s="363"/>
      <c r="G41" s="363"/>
      <c r="H41" s="363"/>
      <c r="I41" s="363"/>
      <c r="J41" s="363"/>
      <c r="K41" s="363"/>
      <c r="L41" s="363"/>
      <c r="M41" s="363"/>
      <c r="N41" s="363"/>
      <c r="O41" s="363"/>
      <c r="P41" s="363"/>
      <c r="Q41" s="363"/>
      <c r="R41" s="363" t="str">
        <f t="shared" si="28"/>
        <v>-</v>
      </c>
      <c r="S41" s="356">
        <f t="shared" si="24"/>
        <v>0</v>
      </c>
      <c r="T41" s="357"/>
      <c r="U41" s="391">
        <f t="shared" si="25"/>
        <v>0</v>
      </c>
      <c r="V41" s="365">
        <f t="shared" si="26"/>
        <v>0</v>
      </c>
      <c r="W41" s="365">
        <f t="shared" si="9"/>
        <v>0</v>
      </c>
      <c r="X41" s="366">
        <f t="shared" si="10"/>
        <v>0</v>
      </c>
      <c r="Y41" s="366">
        <f t="shared" si="11"/>
        <v>0</v>
      </c>
      <c r="Z41" s="366">
        <f t="shared" si="29"/>
        <v>0</v>
      </c>
      <c r="AA41" s="367">
        <f t="shared" si="27"/>
        <v>0</v>
      </c>
    </row>
    <row r="42" spans="1:28" s="332" customFormat="1" ht="16.5" hidden="1" customHeight="1">
      <c r="A42" s="1048"/>
      <c r="B42" s="353"/>
      <c r="C42" s="353"/>
      <c r="D42" s="353"/>
      <c r="E42" s="368"/>
      <c r="F42" s="364"/>
      <c r="G42" s="363"/>
      <c r="H42" s="363"/>
      <c r="I42" s="364"/>
      <c r="J42" s="363"/>
      <c r="K42" s="363"/>
      <c r="L42" s="363"/>
      <c r="M42" s="363"/>
      <c r="N42" s="363"/>
      <c r="O42" s="363"/>
      <c r="P42" s="363"/>
      <c r="Q42" s="363"/>
      <c r="R42" s="363" t="str">
        <f t="shared" si="28"/>
        <v>-</v>
      </c>
      <c r="S42" s="356">
        <f t="shared" si="24"/>
        <v>0</v>
      </c>
      <c r="T42" s="357"/>
      <c r="U42" s="391">
        <f t="shared" si="25"/>
        <v>0</v>
      </c>
      <c r="V42" s="365">
        <f t="shared" si="26"/>
        <v>0</v>
      </c>
      <c r="W42" s="365">
        <f t="shared" si="9"/>
        <v>0</v>
      </c>
      <c r="X42" s="366">
        <f t="shared" si="10"/>
        <v>0</v>
      </c>
      <c r="Y42" s="366">
        <f t="shared" si="11"/>
        <v>0</v>
      </c>
      <c r="Z42" s="366">
        <f t="shared" si="29"/>
        <v>0</v>
      </c>
      <c r="AA42" s="367">
        <f t="shared" si="27"/>
        <v>0</v>
      </c>
    </row>
    <row r="43" spans="1:28" s="332" customFormat="1" ht="16.5" hidden="1" customHeight="1">
      <c r="A43" s="1048"/>
      <c r="B43" s="353"/>
      <c r="C43" s="353"/>
      <c r="D43" s="353"/>
      <c r="E43" s="368"/>
      <c r="F43" s="363"/>
      <c r="G43" s="363"/>
      <c r="H43" s="363"/>
      <c r="I43" s="363"/>
      <c r="J43" s="363"/>
      <c r="K43" s="363"/>
      <c r="L43" s="363"/>
      <c r="M43" s="363"/>
      <c r="N43" s="363"/>
      <c r="O43" s="363"/>
      <c r="P43" s="363"/>
      <c r="Q43" s="363"/>
      <c r="R43" s="363" t="str">
        <f t="shared" si="28"/>
        <v>-</v>
      </c>
      <c r="S43" s="356">
        <f t="shared" si="24"/>
        <v>0</v>
      </c>
      <c r="T43" s="357"/>
      <c r="U43" s="391">
        <f t="shared" si="25"/>
        <v>0</v>
      </c>
      <c r="V43" s="365">
        <f t="shared" si="26"/>
        <v>0</v>
      </c>
      <c r="W43" s="365">
        <f t="shared" si="9"/>
        <v>0</v>
      </c>
      <c r="X43" s="366">
        <f t="shared" si="10"/>
        <v>0</v>
      </c>
      <c r="Y43" s="366">
        <f t="shared" si="11"/>
        <v>0</v>
      </c>
      <c r="Z43" s="366">
        <f t="shared" si="29"/>
        <v>0</v>
      </c>
      <c r="AA43" s="367">
        <f t="shared" si="27"/>
        <v>0</v>
      </c>
    </row>
    <row r="44" spans="1:28" s="332" customFormat="1" ht="16.5" hidden="1" customHeight="1">
      <c r="A44" s="1050"/>
      <c r="B44" s="411"/>
      <c r="C44" s="411"/>
      <c r="D44" s="411"/>
      <c r="E44" s="412"/>
      <c r="F44" s="413"/>
      <c r="G44" s="413"/>
      <c r="H44" s="413"/>
      <c r="I44" s="413"/>
      <c r="J44" s="413"/>
      <c r="K44" s="413"/>
      <c r="L44" s="413"/>
      <c r="M44" s="413"/>
      <c r="N44" s="413"/>
      <c r="O44" s="413"/>
      <c r="P44" s="413"/>
      <c r="Q44" s="413"/>
      <c r="R44" s="413" t="str">
        <f t="shared" si="28"/>
        <v>-</v>
      </c>
      <c r="S44" s="414">
        <f t="shared" si="24"/>
        <v>0</v>
      </c>
      <c r="T44" s="415"/>
      <c r="U44" s="416">
        <f t="shared" si="25"/>
        <v>0</v>
      </c>
      <c r="V44" s="417">
        <f t="shared" si="26"/>
        <v>0</v>
      </c>
      <c r="W44" s="365">
        <f t="shared" si="9"/>
        <v>0</v>
      </c>
      <c r="X44" s="366">
        <f t="shared" si="10"/>
        <v>0</v>
      </c>
      <c r="Y44" s="366">
        <f t="shared" si="11"/>
        <v>0</v>
      </c>
      <c r="Z44" s="366">
        <f t="shared" si="29"/>
        <v>0</v>
      </c>
      <c r="AA44" s="419">
        <f t="shared" si="27"/>
        <v>0</v>
      </c>
    </row>
    <row r="45" spans="1:28" ht="13.5" hidden="1" customHeight="1">
      <c r="A45" s="420"/>
      <c r="B45" s="421"/>
      <c r="C45" s="421"/>
      <c r="D45" s="421"/>
      <c r="E45" s="421"/>
      <c r="F45" s="421"/>
      <c r="G45" s="421"/>
      <c r="H45" s="421"/>
      <c r="I45" s="421"/>
      <c r="J45" s="421"/>
      <c r="K45" s="421"/>
      <c r="L45" s="421"/>
      <c r="M45" s="421"/>
      <c r="N45" s="421"/>
      <c r="O45" s="421"/>
      <c r="P45" s="421"/>
      <c r="Q45" s="421"/>
      <c r="R45" s="421"/>
      <c r="S45" s="421"/>
      <c r="T45" s="422"/>
      <c r="U45" s="423"/>
      <c r="V45" s="421"/>
      <c r="W45" s="365">
        <f t="shared" si="9"/>
        <v>0</v>
      </c>
      <c r="X45" s="366">
        <f t="shared" si="10"/>
        <v>0</v>
      </c>
      <c r="Y45" s="366">
        <f t="shared" si="11"/>
        <v>0</v>
      </c>
      <c r="Z45" s="421"/>
      <c r="AA45" s="421"/>
    </row>
    <row r="46" spans="1:28" ht="13.5" hidden="1" customHeight="1">
      <c r="A46" s="424"/>
      <c r="U46" s="425"/>
      <c r="W46" s="365">
        <f t="shared" si="9"/>
        <v>0</v>
      </c>
      <c r="X46" s="366">
        <f t="shared" si="10"/>
        <v>0</v>
      </c>
      <c r="Y46" s="366">
        <f t="shared" si="11"/>
        <v>0</v>
      </c>
    </row>
    <row r="47" spans="1:28" ht="14.25" hidden="1" customHeight="1">
      <c r="A47" s="1042" t="s">
        <v>355</v>
      </c>
      <c r="B47" s="1043"/>
      <c r="C47" s="1043"/>
      <c r="D47" s="1043"/>
      <c r="E47" s="1043"/>
      <c r="F47" s="333"/>
      <c r="G47" s="333"/>
      <c r="H47" s="333"/>
      <c r="I47" s="333"/>
      <c r="J47" s="333"/>
      <c r="K47" s="334"/>
      <c r="L47" s="334"/>
      <c r="M47" s="334"/>
      <c r="N47" s="335"/>
      <c r="O47" s="336"/>
      <c r="P47" s="336"/>
      <c r="Q47" s="336"/>
      <c r="R47" s="336"/>
      <c r="S47" s="333"/>
      <c r="T47" s="333"/>
      <c r="U47" s="426"/>
      <c r="V47" s="333"/>
      <c r="W47" s="365">
        <f t="shared" si="9"/>
        <v>0</v>
      </c>
      <c r="X47" s="366">
        <f t="shared" si="10"/>
        <v>0</v>
      </c>
      <c r="Y47" s="366">
        <f t="shared" si="11"/>
        <v>0</v>
      </c>
      <c r="Z47" s="333"/>
      <c r="AA47" s="336"/>
      <c r="AB47" s="338" t="s">
        <v>210</v>
      </c>
    </row>
    <row r="48" spans="1:28" ht="36.75" hidden="1" customHeight="1">
      <c r="A48" s="427" t="s">
        <v>170</v>
      </c>
      <c r="B48" s="340" t="s">
        <v>171</v>
      </c>
      <c r="C48" s="340" t="s">
        <v>69</v>
      </c>
      <c r="D48" s="340" t="s">
        <v>158</v>
      </c>
      <c r="E48" s="340" t="s">
        <v>309</v>
      </c>
      <c r="F48" s="341" t="s">
        <v>168</v>
      </c>
      <c r="G48" s="342" t="s">
        <v>535</v>
      </c>
      <c r="H48" s="342" t="s">
        <v>226</v>
      </c>
      <c r="I48" s="342" t="s">
        <v>222</v>
      </c>
      <c r="J48" s="340" t="s">
        <v>190</v>
      </c>
      <c r="K48" s="342" t="s">
        <v>228</v>
      </c>
      <c r="L48" s="342" t="s">
        <v>519</v>
      </c>
      <c r="M48" s="342" t="s">
        <v>516</v>
      </c>
      <c r="N48" s="342" t="s">
        <v>239</v>
      </c>
      <c r="O48" s="342" t="s">
        <v>533</v>
      </c>
      <c r="P48" s="342" t="s">
        <v>450</v>
      </c>
      <c r="Q48" s="342" t="s">
        <v>319</v>
      </c>
      <c r="R48" s="342" t="s">
        <v>443</v>
      </c>
      <c r="S48" s="342" t="s">
        <v>48</v>
      </c>
      <c r="T48" s="345" t="s">
        <v>342</v>
      </c>
      <c r="U48" s="428" t="s">
        <v>316</v>
      </c>
      <c r="V48" s="346" t="s">
        <v>464</v>
      </c>
      <c r="W48" s="365" t="e">
        <f t="shared" si="9"/>
        <v>#VALUE!</v>
      </c>
      <c r="X48" s="366" t="e">
        <f t="shared" si="10"/>
        <v>#VALUE!</v>
      </c>
      <c r="Y48" s="366" t="e">
        <f t="shared" si="11"/>
        <v>#VALUE!</v>
      </c>
      <c r="Z48" s="344" t="s">
        <v>452</v>
      </c>
      <c r="AA48" s="347" t="s">
        <v>467</v>
      </c>
      <c r="AB48" s="348" t="s">
        <v>137</v>
      </c>
    </row>
    <row r="49" spans="1:28" ht="13.5" hidden="1" customHeight="1">
      <c r="A49" s="1054"/>
      <c r="B49" s="1055"/>
      <c r="C49" s="1055"/>
      <c r="D49" s="1055"/>
      <c r="E49" s="1056"/>
      <c r="F49" s="349"/>
      <c r="G49" s="349"/>
      <c r="H49" s="349"/>
      <c r="I49" s="349"/>
      <c r="J49" s="349"/>
      <c r="K49" s="349"/>
      <c r="L49" s="349"/>
      <c r="M49" s="349"/>
      <c r="N49" s="349"/>
      <c r="O49" s="349"/>
      <c r="P49" s="349"/>
      <c r="Q49" s="349"/>
      <c r="R49" s="349"/>
      <c r="S49" s="349"/>
      <c r="T49" s="349"/>
      <c r="U49" s="429"/>
      <c r="V49" s="351"/>
      <c r="W49" s="365">
        <f t="shared" si="9"/>
        <v>0</v>
      </c>
      <c r="X49" s="366">
        <f t="shared" si="10"/>
        <v>0</v>
      </c>
      <c r="Y49" s="366">
        <f t="shared" si="11"/>
        <v>0</v>
      </c>
      <c r="Z49" s="351"/>
      <c r="AA49" s="351"/>
      <c r="AB49" s="351"/>
    </row>
    <row r="50" spans="1:28" ht="18" hidden="1" customHeight="1">
      <c r="A50" s="1052">
        <v>1</v>
      </c>
      <c r="B50" s="411" t="s">
        <v>303</v>
      </c>
      <c r="C50" s="411">
        <v>1</v>
      </c>
      <c r="D50" s="411">
        <v>1</v>
      </c>
      <c r="E50" s="430" t="s">
        <v>164</v>
      </c>
      <c r="F50" s="414">
        <f t="shared" ref="F50:S50" si="30">SUM(F51:F62)</f>
        <v>0</v>
      </c>
      <c r="G50" s="414">
        <f t="shared" si="30"/>
        <v>0</v>
      </c>
      <c r="H50" s="414">
        <f>SUM(H51:H62)</f>
        <v>0</v>
      </c>
      <c r="I50" s="414">
        <f t="shared" si="30"/>
        <v>0</v>
      </c>
      <c r="J50" s="414">
        <f t="shared" si="30"/>
        <v>0</v>
      </c>
      <c r="K50" s="414">
        <f t="shared" si="30"/>
        <v>0</v>
      </c>
      <c r="L50" s="414">
        <f t="shared" si="30"/>
        <v>0</v>
      </c>
      <c r="M50" s="414">
        <f t="shared" si="30"/>
        <v>0</v>
      </c>
      <c r="N50" s="414">
        <f t="shared" si="30"/>
        <v>0</v>
      </c>
      <c r="O50" s="414">
        <f t="shared" si="30"/>
        <v>0</v>
      </c>
      <c r="P50" s="414"/>
      <c r="Q50" s="414">
        <f t="shared" si="30"/>
        <v>0</v>
      </c>
      <c r="R50" s="414">
        <f t="shared" si="30"/>
        <v>0</v>
      </c>
      <c r="S50" s="414">
        <f t="shared" si="30"/>
        <v>0</v>
      </c>
      <c r="T50" s="431">
        <f>SUM(T51:T62)</f>
        <v>0</v>
      </c>
      <c r="U50" s="432"/>
      <c r="V50" s="358">
        <f>SUM(V51:V62)</f>
        <v>0</v>
      </c>
      <c r="W50" s="365">
        <f t="shared" si="9"/>
        <v>0</v>
      </c>
      <c r="X50" s="366">
        <f t="shared" si="10"/>
        <v>0</v>
      </c>
      <c r="Y50" s="366">
        <f t="shared" si="11"/>
        <v>0</v>
      </c>
      <c r="Z50" s="356">
        <f>SUM(Z51:Z62)</f>
        <v>0</v>
      </c>
      <c r="AA50" s="356">
        <f>SUM(AA51:AA62)</f>
        <v>0</v>
      </c>
      <c r="AB50" s="359">
        <f>SUM(AB51:AB62)</f>
        <v>0</v>
      </c>
    </row>
    <row r="51" spans="1:28" ht="13.5" hidden="1" customHeight="1">
      <c r="A51" s="1052"/>
      <c r="B51" s="402" t="s">
        <v>160</v>
      </c>
      <c r="C51" s="402"/>
      <c r="D51" s="402"/>
      <c r="E51" s="433" t="s">
        <v>94</v>
      </c>
      <c r="F51" s="434"/>
      <c r="G51" s="435"/>
      <c r="H51" s="434"/>
      <c r="I51" s="434"/>
      <c r="J51" s="435"/>
      <c r="K51" s="435"/>
      <c r="L51" s="435"/>
      <c r="M51" s="363"/>
      <c r="N51" s="435"/>
      <c r="O51" s="435"/>
      <c r="P51" s="435"/>
      <c r="Q51" s="435"/>
      <c r="R51" s="435"/>
      <c r="S51" s="435"/>
      <c r="T51" s="410"/>
      <c r="U51" s="436"/>
      <c r="V51" s="365">
        <f>ROUNDUP(T51*1/12,-1)</f>
        <v>0</v>
      </c>
      <c r="W51" s="365">
        <f t="shared" si="9"/>
        <v>0</v>
      </c>
      <c r="X51" s="366">
        <f t="shared" si="10"/>
        <v>0</v>
      </c>
      <c r="Y51" s="366">
        <f t="shared" si="11"/>
        <v>0</v>
      </c>
      <c r="Z51" s="366">
        <f>ROUND(T51*0.8%,-1)</f>
        <v>0</v>
      </c>
      <c r="AA51" s="366">
        <f>ROUND(T51*0.785%,-1)</f>
        <v>0</v>
      </c>
      <c r="AB51" s="367">
        <f t="shared" ref="AB51:AB62" si="31">SUM(V51:AA51)</f>
        <v>0</v>
      </c>
    </row>
    <row r="52" spans="1:28" ht="13.5" hidden="1" customHeight="1">
      <c r="A52" s="1052"/>
      <c r="B52" s="353"/>
      <c r="C52" s="353"/>
      <c r="D52" s="353"/>
      <c r="E52" s="368" t="s">
        <v>150</v>
      </c>
      <c r="F52" s="363"/>
      <c r="G52" s="363"/>
      <c r="H52" s="363"/>
      <c r="I52" s="363"/>
      <c r="J52" s="363"/>
      <c r="K52" s="363"/>
      <c r="L52" s="363"/>
      <c r="M52" s="363"/>
      <c r="N52" s="363"/>
      <c r="O52" s="363"/>
      <c r="P52" s="363"/>
      <c r="Q52" s="363"/>
      <c r="R52" s="363"/>
      <c r="S52" s="363"/>
      <c r="T52" s="410"/>
      <c r="U52" s="437"/>
      <c r="V52" s="365">
        <f t="shared" ref="V52:V62" si="32">ROUNDUP(T52*1/12,-1)</f>
        <v>0</v>
      </c>
      <c r="W52" s="365">
        <f t="shared" si="9"/>
        <v>0</v>
      </c>
      <c r="X52" s="366">
        <f t="shared" si="10"/>
        <v>0</v>
      </c>
      <c r="Y52" s="366">
        <f t="shared" si="11"/>
        <v>0</v>
      </c>
      <c r="Z52" s="366">
        <f t="shared" ref="Z52:Z62" si="33">ROUND(T52*0.8%,-1)</f>
        <v>0</v>
      </c>
      <c r="AA52" s="366">
        <f t="shared" ref="AA52:AA62" si="34">ROUND(T52*0.785%,-1)</f>
        <v>0</v>
      </c>
      <c r="AB52" s="367">
        <f t="shared" si="31"/>
        <v>0</v>
      </c>
    </row>
    <row r="53" spans="1:28" ht="13.5" hidden="1" customHeight="1">
      <c r="A53" s="1052"/>
      <c r="B53" s="353"/>
      <c r="C53" s="353"/>
      <c r="D53" s="353"/>
      <c r="E53" s="368" t="s">
        <v>82</v>
      </c>
      <c r="F53" s="363"/>
      <c r="G53" s="363"/>
      <c r="H53" s="363"/>
      <c r="I53" s="363"/>
      <c r="J53" s="363"/>
      <c r="K53" s="363"/>
      <c r="L53" s="363"/>
      <c r="M53" s="363"/>
      <c r="N53" s="363"/>
      <c r="O53" s="363"/>
      <c r="P53" s="363"/>
      <c r="Q53" s="363"/>
      <c r="R53" s="363"/>
      <c r="S53" s="363"/>
      <c r="T53" s="410"/>
      <c r="U53" s="437"/>
      <c r="V53" s="365">
        <f t="shared" si="32"/>
        <v>0</v>
      </c>
      <c r="W53" s="365">
        <f t="shared" si="9"/>
        <v>0</v>
      </c>
      <c r="X53" s="366">
        <f t="shared" si="10"/>
        <v>0</v>
      </c>
      <c r="Y53" s="366">
        <f t="shared" si="11"/>
        <v>0</v>
      </c>
      <c r="Z53" s="366">
        <f t="shared" si="33"/>
        <v>0</v>
      </c>
      <c r="AA53" s="366">
        <f t="shared" si="34"/>
        <v>0</v>
      </c>
      <c r="AB53" s="367">
        <f t="shared" si="31"/>
        <v>0</v>
      </c>
    </row>
    <row r="54" spans="1:28" ht="13.5" hidden="1" customHeight="1">
      <c r="A54" s="1052"/>
      <c r="B54" s="353"/>
      <c r="C54" s="353"/>
      <c r="D54" s="353"/>
      <c r="E54" s="368" t="s">
        <v>159</v>
      </c>
      <c r="F54" s="363"/>
      <c r="G54" s="363"/>
      <c r="H54" s="363"/>
      <c r="I54" s="363"/>
      <c r="J54" s="363"/>
      <c r="K54" s="363"/>
      <c r="L54" s="363"/>
      <c r="M54" s="363"/>
      <c r="N54" s="363"/>
      <c r="O54" s="363"/>
      <c r="P54" s="363"/>
      <c r="Q54" s="363"/>
      <c r="R54" s="363"/>
      <c r="S54" s="363"/>
      <c r="T54" s="410"/>
      <c r="U54" s="437"/>
      <c r="V54" s="365">
        <f t="shared" si="32"/>
        <v>0</v>
      </c>
      <c r="W54" s="365">
        <f t="shared" si="9"/>
        <v>0</v>
      </c>
      <c r="X54" s="366">
        <f t="shared" si="10"/>
        <v>0</v>
      </c>
      <c r="Y54" s="366">
        <f t="shared" si="11"/>
        <v>0</v>
      </c>
      <c r="Z54" s="366">
        <f t="shared" si="33"/>
        <v>0</v>
      </c>
      <c r="AA54" s="366">
        <f t="shared" si="34"/>
        <v>0</v>
      </c>
      <c r="AB54" s="367">
        <f t="shared" si="31"/>
        <v>0</v>
      </c>
    </row>
    <row r="55" spans="1:28" ht="13.5" hidden="1" customHeight="1">
      <c r="A55" s="1052"/>
      <c r="B55" s="353"/>
      <c r="C55" s="353"/>
      <c r="D55" s="353"/>
      <c r="E55" s="368" t="s">
        <v>61</v>
      </c>
      <c r="F55" s="363"/>
      <c r="G55" s="363"/>
      <c r="H55" s="363"/>
      <c r="I55" s="363"/>
      <c r="J55" s="363"/>
      <c r="K55" s="363"/>
      <c r="L55" s="363"/>
      <c r="M55" s="363"/>
      <c r="N55" s="363"/>
      <c r="O55" s="363"/>
      <c r="P55" s="363"/>
      <c r="Q55" s="363"/>
      <c r="R55" s="363"/>
      <c r="S55" s="363"/>
      <c r="T55" s="410"/>
      <c r="U55" s="437"/>
      <c r="V55" s="365">
        <f t="shared" si="32"/>
        <v>0</v>
      </c>
      <c r="W55" s="365">
        <f t="shared" si="9"/>
        <v>0</v>
      </c>
      <c r="X55" s="366">
        <f t="shared" si="10"/>
        <v>0</v>
      </c>
      <c r="Y55" s="366">
        <f t="shared" si="11"/>
        <v>0</v>
      </c>
      <c r="Z55" s="366">
        <f t="shared" si="33"/>
        <v>0</v>
      </c>
      <c r="AA55" s="366">
        <f>ROUND(T55*0.785%,-1)</f>
        <v>0</v>
      </c>
      <c r="AB55" s="367">
        <f t="shared" si="31"/>
        <v>0</v>
      </c>
    </row>
    <row r="56" spans="1:28" ht="13.5" hidden="1" customHeight="1">
      <c r="A56" s="1052"/>
      <c r="B56" s="353"/>
      <c r="C56" s="353"/>
      <c r="D56" s="353"/>
      <c r="E56" s="368" t="s">
        <v>156</v>
      </c>
      <c r="F56" s="363"/>
      <c r="G56" s="363"/>
      <c r="H56" s="363"/>
      <c r="I56" s="363"/>
      <c r="J56" s="363"/>
      <c r="K56" s="363"/>
      <c r="L56" s="363"/>
      <c r="M56" s="363"/>
      <c r="N56" s="363"/>
      <c r="O56" s="363"/>
      <c r="P56" s="363"/>
      <c r="Q56" s="363"/>
      <c r="R56" s="363"/>
      <c r="S56" s="363"/>
      <c r="T56" s="410"/>
      <c r="U56" s="437"/>
      <c r="V56" s="365">
        <f t="shared" si="32"/>
        <v>0</v>
      </c>
      <c r="W56" s="365">
        <f t="shared" si="9"/>
        <v>0</v>
      </c>
      <c r="X56" s="366">
        <f t="shared" si="10"/>
        <v>0</v>
      </c>
      <c r="Y56" s="366">
        <f t="shared" si="11"/>
        <v>0</v>
      </c>
      <c r="Z56" s="366">
        <f t="shared" si="33"/>
        <v>0</v>
      </c>
      <c r="AA56" s="366">
        <f t="shared" si="34"/>
        <v>0</v>
      </c>
      <c r="AB56" s="367">
        <f t="shared" si="31"/>
        <v>0</v>
      </c>
    </row>
    <row r="57" spans="1:28" ht="13.5" hidden="1" customHeight="1">
      <c r="A57" s="1052"/>
      <c r="B57" s="353"/>
      <c r="C57" s="353">
        <v>1</v>
      </c>
      <c r="D57" s="353"/>
      <c r="E57" s="368" t="s">
        <v>136</v>
      </c>
      <c r="F57" s="364"/>
      <c r="G57" s="363"/>
      <c r="H57" s="364"/>
      <c r="I57" s="363"/>
      <c r="J57" s="363"/>
      <c r="K57" s="363"/>
      <c r="L57" s="363"/>
      <c r="M57" s="363"/>
      <c r="N57" s="363"/>
      <c r="O57" s="363"/>
      <c r="P57" s="363"/>
      <c r="Q57" s="363"/>
      <c r="R57" s="363"/>
      <c r="S57" s="363"/>
      <c r="T57" s="410"/>
      <c r="U57" s="437"/>
      <c r="V57" s="365">
        <f t="shared" si="32"/>
        <v>0</v>
      </c>
      <c r="W57" s="365">
        <f t="shared" si="9"/>
        <v>0</v>
      </c>
      <c r="X57" s="366">
        <f t="shared" si="10"/>
        <v>0</v>
      </c>
      <c r="Y57" s="366">
        <f t="shared" si="11"/>
        <v>0</v>
      </c>
      <c r="Z57" s="366">
        <f t="shared" si="33"/>
        <v>0</v>
      </c>
      <c r="AA57" s="366">
        <f t="shared" si="34"/>
        <v>0</v>
      </c>
      <c r="AB57" s="367">
        <f t="shared" si="31"/>
        <v>0</v>
      </c>
    </row>
    <row r="58" spans="1:28" ht="13.5" hidden="1" customHeight="1">
      <c r="A58" s="1052"/>
      <c r="B58" s="353"/>
      <c r="C58" s="353"/>
      <c r="D58" s="353"/>
      <c r="E58" s="368" t="s">
        <v>84</v>
      </c>
      <c r="F58" s="363"/>
      <c r="G58" s="363"/>
      <c r="H58" s="363"/>
      <c r="I58" s="363"/>
      <c r="J58" s="363"/>
      <c r="K58" s="363"/>
      <c r="L58" s="363"/>
      <c r="M58" s="363"/>
      <c r="N58" s="363"/>
      <c r="O58" s="363"/>
      <c r="P58" s="363"/>
      <c r="Q58" s="363"/>
      <c r="R58" s="363"/>
      <c r="S58" s="363"/>
      <c r="T58" s="410"/>
      <c r="U58" s="437"/>
      <c r="V58" s="365">
        <f t="shared" si="32"/>
        <v>0</v>
      </c>
      <c r="W58" s="365">
        <f t="shared" si="9"/>
        <v>0</v>
      </c>
      <c r="X58" s="366">
        <f t="shared" si="10"/>
        <v>0</v>
      </c>
      <c r="Y58" s="366">
        <f t="shared" si="11"/>
        <v>0</v>
      </c>
      <c r="Z58" s="366">
        <f t="shared" si="33"/>
        <v>0</v>
      </c>
      <c r="AA58" s="366">
        <f t="shared" si="34"/>
        <v>0</v>
      </c>
      <c r="AB58" s="367">
        <f t="shared" si="31"/>
        <v>0</v>
      </c>
    </row>
    <row r="59" spans="1:28" ht="13.5" hidden="1" customHeight="1">
      <c r="A59" s="1052"/>
      <c r="B59" s="353"/>
      <c r="C59" s="353"/>
      <c r="D59" s="353"/>
      <c r="E59" s="368" t="s">
        <v>67</v>
      </c>
      <c r="F59" s="363"/>
      <c r="G59" s="363"/>
      <c r="H59" s="363"/>
      <c r="I59" s="363"/>
      <c r="J59" s="363"/>
      <c r="K59" s="363"/>
      <c r="L59" s="363"/>
      <c r="M59" s="363"/>
      <c r="N59" s="363"/>
      <c r="O59" s="363"/>
      <c r="P59" s="363"/>
      <c r="Q59" s="363"/>
      <c r="R59" s="363"/>
      <c r="S59" s="363"/>
      <c r="T59" s="410"/>
      <c r="U59" s="437"/>
      <c r="V59" s="365">
        <f t="shared" si="32"/>
        <v>0</v>
      </c>
      <c r="W59" s="365">
        <f t="shared" si="9"/>
        <v>0</v>
      </c>
      <c r="X59" s="366">
        <f t="shared" si="10"/>
        <v>0</v>
      </c>
      <c r="Y59" s="366">
        <f t="shared" si="11"/>
        <v>0</v>
      </c>
      <c r="Z59" s="366">
        <f t="shared" si="33"/>
        <v>0</v>
      </c>
      <c r="AA59" s="366">
        <f t="shared" si="34"/>
        <v>0</v>
      </c>
      <c r="AB59" s="367">
        <f t="shared" si="31"/>
        <v>0</v>
      </c>
    </row>
    <row r="60" spans="1:28" ht="13.5" hidden="1" customHeight="1">
      <c r="A60" s="1052"/>
      <c r="B60" s="353"/>
      <c r="C60" s="353"/>
      <c r="D60" s="353"/>
      <c r="E60" s="368" t="s">
        <v>54</v>
      </c>
      <c r="F60" s="363"/>
      <c r="G60" s="363"/>
      <c r="H60" s="363"/>
      <c r="I60" s="363"/>
      <c r="J60" s="363"/>
      <c r="K60" s="363"/>
      <c r="L60" s="363"/>
      <c r="M60" s="363"/>
      <c r="N60" s="363"/>
      <c r="O60" s="363"/>
      <c r="P60" s="363"/>
      <c r="Q60" s="363"/>
      <c r="R60" s="363"/>
      <c r="S60" s="363"/>
      <c r="T60" s="410"/>
      <c r="U60" s="437"/>
      <c r="V60" s="365">
        <f t="shared" si="32"/>
        <v>0</v>
      </c>
      <c r="W60" s="365">
        <f t="shared" si="9"/>
        <v>0</v>
      </c>
      <c r="X60" s="366">
        <f t="shared" si="10"/>
        <v>0</v>
      </c>
      <c r="Y60" s="366">
        <f t="shared" si="11"/>
        <v>0</v>
      </c>
      <c r="Z60" s="366">
        <f t="shared" si="33"/>
        <v>0</v>
      </c>
      <c r="AA60" s="366">
        <f t="shared" si="34"/>
        <v>0</v>
      </c>
      <c r="AB60" s="367">
        <f t="shared" si="31"/>
        <v>0</v>
      </c>
    </row>
    <row r="61" spans="1:28" ht="13.5" hidden="1" customHeight="1">
      <c r="A61" s="1052"/>
      <c r="B61" s="353"/>
      <c r="C61" s="353"/>
      <c r="D61" s="353"/>
      <c r="E61" s="368" t="s">
        <v>55</v>
      </c>
      <c r="F61" s="363"/>
      <c r="G61" s="363"/>
      <c r="H61" s="363"/>
      <c r="I61" s="363"/>
      <c r="J61" s="363"/>
      <c r="K61" s="363"/>
      <c r="L61" s="363"/>
      <c r="M61" s="363"/>
      <c r="N61" s="363"/>
      <c r="O61" s="363"/>
      <c r="P61" s="363"/>
      <c r="Q61" s="363"/>
      <c r="R61" s="363"/>
      <c r="S61" s="363"/>
      <c r="T61" s="410"/>
      <c r="U61" s="437"/>
      <c r="V61" s="365">
        <f t="shared" si="32"/>
        <v>0</v>
      </c>
      <c r="W61" s="365">
        <f t="shared" si="9"/>
        <v>0</v>
      </c>
      <c r="X61" s="366">
        <f t="shared" si="10"/>
        <v>0</v>
      </c>
      <c r="Y61" s="366">
        <f t="shared" si="11"/>
        <v>0</v>
      </c>
      <c r="Z61" s="366">
        <f t="shared" si="33"/>
        <v>0</v>
      </c>
      <c r="AA61" s="366">
        <f t="shared" si="34"/>
        <v>0</v>
      </c>
      <c r="AB61" s="367">
        <f t="shared" si="31"/>
        <v>0</v>
      </c>
    </row>
    <row r="62" spans="1:28" ht="13.5" hidden="1" customHeight="1">
      <c r="A62" s="1057"/>
      <c r="B62" s="411"/>
      <c r="C62" s="411"/>
      <c r="D62" s="411"/>
      <c r="E62" s="412" t="s">
        <v>179</v>
      </c>
      <c r="F62" s="413"/>
      <c r="G62" s="413"/>
      <c r="H62" s="413"/>
      <c r="I62" s="413"/>
      <c r="J62" s="413"/>
      <c r="K62" s="413"/>
      <c r="L62" s="413"/>
      <c r="M62" s="413"/>
      <c r="N62" s="413"/>
      <c r="O62" s="413"/>
      <c r="P62" s="413"/>
      <c r="Q62" s="413"/>
      <c r="R62" s="413"/>
      <c r="S62" s="413"/>
      <c r="T62" s="410"/>
      <c r="U62" s="432"/>
      <c r="V62" s="417">
        <f t="shared" si="32"/>
        <v>0</v>
      </c>
      <c r="W62" s="365">
        <f t="shared" si="9"/>
        <v>0</v>
      </c>
      <c r="X62" s="366">
        <f t="shared" si="10"/>
        <v>0</v>
      </c>
      <c r="Y62" s="366">
        <f t="shared" si="11"/>
        <v>0</v>
      </c>
      <c r="Z62" s="366">
        <f t="shared" si="33"/>
        <v>0</v>
      </c>
      <c r="AA62" s="366">
        <f t="shared" si="34"/>
        <v>0</v>
      </c>
      <c r="AB62" s="419">
        <f t="shared" si="31"/>
        <v>0</v>
      </c>
    </row>
    <row r="63" spans="1:28" ht="18" hidden="1" customHeight="1">
      <c r="A63" s="1051"/>
      <c r="B63" s="411"/>
      <c r="C63" s="411"/>
      <c r="D63" s="411"/>
      <c r="E63" s="430"/>
      <c r="F63" s="414"/>
      <c r="G63" s="414"/>
      <c r="H63" s="414"/>
      <c r="I63" s="414"/>
      <c r="J63" s="414"/>
      <c r="K63" s="414"/>
      <c r="L63" s="414"/>
      <c r="M63" s="414"/>
      <c r="N63" s="414"/>
      <c r="O63" s="414"/>
      <c r="P63" s="414"/>
      <c r="Q63" s="414"/>
      <c r="R63" s="414"/>
      <c r="S63" s="414"/>
      <c r="T63" s="431"/>
      <c r="U63" s="432"/>
      <c r="V63" s="358"/>
      <c r="W63" s="365">
        <f t="shared" si="9"/>
        <v>0</v>
      </c>
      <c r="X63" s="366">
        <f t="shared" si="10"/>
        <v>0</v>
      </c>
      <c r="Y63" s="366">
        <f t="shared" si="11"/>
        <v>0</v>
      </c>
      <c r="Z63" s="356"/>
      <c r="AA63" s="356"/>
      <c r="AB63" s="359"/>
    </row>
    <row r="64" spans="1:28" ht="13.5" hidden="1" customHeight="1">
      <c r="A64" s="1052"/>
      <c r="B64" s="402"/>
      <c r="C64" s="402"/>
      <c r="D64" s="402"/>
      <c r="E64" s="433"/>
      <c r="F64" s="434"/>
      <c r="G64" s="435"/>
      <c r="H64" s="434"/>
      <c r="I64" s="434"/>
      <c r="J64" s="435"/>
      <c r="K64" s="435"/>
      <c r="L64" s="435"/>
      <c r="M64" s="435"/>
      <c r="N64" s="363"/>
      <c r="O64" s="435"/>
      <c r="P64" s="363"/>
      <c r="Q64" s="435"/>
      <c r="R64" s="435"/>
      <c r="S64" s="435"/>
      <c r="T64" s="410"/>
      <c r="U64" s="436"/>
      <c r="V64" s="365"/>
      <c r="W64" s="365">
        <f t="shared" si="9"/>
        <v>0</v>
      </c>
      <c r="X64" s="366">
        <f t="shared" si="10"/>
        <v>0</v>
      </c>
      <c r="Y64" s="366">
        <f t="shared" si="11"/>
        <v>0</v>
      </c>
      <c r="Z64" s="366"/>
      <c r="AA64" s="366"/>
      <c r="AB64" s="367"/>
    </row>
    <row r="65" spans="1:28" ht="13.5" hidden="1" customHeight="1">
      <c r="A65" s="1052"/>
      <c r="B65" s="353"/>
      <c r="C65" s="353"/>
      <c r="D65" s="353"/>
      <c r="E65" s="368"/>
      <c r="F65" s="363"/>
      <c r="G65" s="363"/>
      <c r="H65" s="363"/>
      <c r="I65" s="363"/>
      <c r="J65" s="363"/>
      <c r="K65" s="363"/>
      <c r="L65" s="363"/>
      <c r="M65" s="363"/>
      <c r="N65" s="363"/>
      <c r="O65" s="363"/>
      <c r="P65" s="363"/>
      <c r="Q65" s="363"/>
      <c r="R65" s="363"/>
      <c r="S65" s="363"/>
      <c r="T65" s="410"/>
      <c r="U65" s="437"/>
      <c r="V65" s="365"/>
      <c r="W65" s="365">
        <f t="shared" si="9"/>
        <v>0</v>
      </c>
      <c r="X65" s="366">
        <f t="shared" si="10"/>
        <v>0</v>
      </c>
      <c r="Y65" s="366">
        <f t="shared" si="11"/>
        <v>0</v>
      </c>
      <c r="Z65" s="366"/>
      <c r="AA65" s="366"/>
      <c r="AB65" s="367"/>
    </row>
    <row r="66" spans="1:28" ht="13.5" hidden="1" customHeight="1">
      <c r="A66" s="1052"/>
      <c r="B66" s="353"/>
      <c r="C66" s="353"/>
      <c r="D66" s="353"/>
      <c r="E66" s="368"/>
      <c r="F66" s="363"/>
      <c r="G66" s="363"/>
      <c r="H66" s="363"/>
      <c r="I66" s="363"/>
      <c r="J66" s="363"/>
      <c r="K66" s="363"/>
      <c r="L66" s="363"/>
      <c r="M66" s="363"/>
      <c r="N66" s="363"/>
      <c r="O66" s="363"/>
      <c r="P66" s="363"/>
      <c r="Q66" s="363"/>
      <c r="R66" s="363"/>
      <c r="S66" s="363"/>
      <c r="T66" s="410"/>
      <c r="U66" s="437"/>
      <c r="V66" s="365"/>
      <c r="W66" s="365">
        <f t="shared" si="9"/>
        <v>0</v>
      </c>
      <c r="X66" s="366">
        <f t="shared" si="10"/>
        <v>0</v>
      </c>
      <c r="Y66" s="366">
        <f t="shared" si="11"/>
        <v>0</v>
      </c>
      <c r="Z66" s="366"/>
      <c r="AA66" s="366"/>
      <c r="AB66" s="367"/>
    </row>
    <row r="67" spans="1:28" ht="13.5" hidden="1" customHeight="1">
      <c r="A67" s="1052"/>
      <c r="B67" s="353"/>
      <c r="C67" s="353"/>
      <c r="D67" s="353"/>
      <c r="E67" s="368">
        <v>0</v>
      </c>
      <c r="F67" s="363"/>
      <c r="G67" s="363"/>
      <c r="H67" s="363"/>
      <c r="I67" s="363"/>
      <c r="J67" s="363"/>
      <c r="K67" s="363"/>
      <c r="L67" s="363"/>
      <c r="M67" s="363"/>
      <c r="N67" s="363"/>
      <c r="O67" s="363"/>
      <c r="P67" s="363"/>
      <c r="Q67" s="363"/>
      <c r="R67" s="363"/>
      <c r="S67" s="363"/>
      <c r="T67" s="410"/>
      <c r="U67" s="437"/>
      <c r="V67" s="365"/>
      <c r="W67" s="365">
        <f t="shared" si="9"/>
        <v>0</v>
      </c>
      <c r="X67" s="366">
        <f t="shared" si="10"/>
        <v>0</v>
      </c>
      <c r="Y67" s="366">
        <f t="shared" si="11"/>
        <v>0</v>
      </c>
      <c r="Z67" s="366"/>
      <c r="AA67" s="366"/>
      <c r="AB67" s="367"/>
    </row>
    <row r="68" spans="1:28" ht="13.5" hidden="1" customHeight="1">
      <c r="A68" s="1052"/>
      <c r="B68" s="353"/>
      <c r="C68" s="353"/>
      <c r="D68" s="353"/>
      <c r="E68" s="368"/>
      <c r="F68" s="363"/>
      <c r="G68" s="363"/>
      <c r="H68" s="363"/>
      <c r="I68" s="363"/>
      <c r="J68" s="363"/>
      <c r="K68" s="363"/>
      <c r="L68" s="363"/>
      <c r="M68" s="363"/>
      <c r="N68" s="363"/>
      <c r="O68" s="363"/>
      <c r="P68" s="363"/>
      <c r="Q68" s="363"/>
      <c r="R68" s="363"/>
      <c r="S68" s="363"/>
      <c r="T68" s="410"/>
      <c r="U68" s="437"/>
      <c r="V68" s="365"/>
      <c r="W68" s="365">
        <f t="shared" si="9"/>
        <v>0</v>
      </c>
      <c r="X68" s="366">
        <f t="shared" si="10"/>
        <v>0</v>
      </c>
      <c r="Y68" s="366">
        <f t="shared" si="11"/>
        <v>0</v>
      </c>
      <c r="Z68" s="366"/>
      <c r="AA68" s="366"/>
      <c r="AB68" s="367"/>
    </row>
    <row r="69" spans="1:28" ht="13.5" hidden="1" customHeight="1">
      <c r="A69" s="1052"/>
      <c r="B69" s="353"/>
      <c r="C69" s="353"/>
      <c r="D69" s="353"/>
      <c r="E69" s="368"/>
      <c r="F69" s="363"/>
      <c r="G69" s="363"/>
      <c r="H69" s="363"/>
      <c r="I69" s="363"/>
      <c r="J69" s="363"/>
      <c r="K69" s="363"/>
      <c r="L69" s="363"/>
      <c r="M69" s="363"/>
      <c r="N69" s="363"/>
      <c r="O69" s="363"/>
      <c r="P69" s="363"/>
      <c r="Q69" s="363"/>
      <c r="R69" s="363"/>
      <c r="S69" s="363"/>
      <c r="T69" s="410"/>
      <c r="U69" s="437"/>
      <c r="V69" s="365"/>
      <c r="W69" s="365">
        <f t="shared" si="9"/>
        <v>0</v>
      </c>
      <c r="X69" s="366">
        <f t="shared" si="10"/>
        <v>0</v>
      </c>
      <c r="Y69" s="366">
        <f t="shared" si="11"/>
        <v>0</v>
      </c>
      <c r="Z69" s="366"/>
      <c r="AA69" s="366"/>
      <c r="AB69" s="367"/>
    </row>
    <row r="70" spans="1:28" ht="13.5" hidden="1" customHeight="1">
      <c r="A70" s="1052"/>
      <c r="B70" s="353"/>
      <c r="C70" s="353"/>
      <c r="D70" s="353"/>
      <c r="E70" s="368"/>
      <c r="F70" s="363"/>
      <c r="G70" s="363"/>
      <c r="H70" s="364"/>
      <c r="I70" s="363"/>
      <c r="J70" s="363"/>
      <c r="K70" s="363"/>
      <c r="L70" s="363"/>
      <c r="M70" s="363"/>
      <c r="N70" s="363"/>
      <c r="O70" s="363"/>
      <c r="P70" s="363"/>
      <c r="Q70" s="363"/>
      <c r="R70" s="363"/>
      <c r="S70" s="363"/>
      <c r="T70" s="410"/>
      <c r="U70" s="437"/>
      <c r="V70" s="365"/>
      <c r="W70" s="365">
        <f t="shared" si="9"/>
        <v>0</v>
      </c>
      <c r="X70" s="366">
        <f t="shared" si="10"/>
        <v>0</v>
      </c>
      <c r="Y70" s="366">
        <f t="shared" si="11"/>
        <v>0</v>
      </c>
      <c r="Z70" s="366"/>
      <c r="AA70" s="366"/>
      <c r="AB70" s="367"/>
    </row>
    <row r="71" spans="1:28" ht="13.5" hidden="1" customHeight="1">
      <c r="A71" s="1052"/>
      <c r="B71" s="353"/>
      <c r="C71" s="353"/>
      <c r="D71" s="353"/>
      <c r="E71" s="368"/>
      <c r="F71" s="363"/>
      <c r="G71" s="363"/>
      <c r="H71" s="363"/>
      <c r="I71" s="363"/>
      <c r="J71" s="363"/>
      <c r="K71" s="363"/>
      <c r="L71" s="363"/>
      <c r="M71" s="363"/>
      <c r="N71" s="363"/>
      <c r="O71" s="363"/>
      <c r="P71" s="363"/>
      <c r="Q71" s="363"/>
      <c r="R71" s="363"/>
      <c r="S71" s="363"/>
      <c r="T71" s="410"/>
      <c r="U71" s="437"/>
      <c r="V71" s="365"/>
      <c r="W71" s="365">
        <f t="shared" si="9"/>
        <v>0</v>
      </c>
      <c r="X71" s="366">
        <f t="shared" si="10"/>
        <v>0</v>
      </c>
      <c r="Y71" s="366">
        <f t="shared" si="11"/>
        <v>0</v>
      </c>
      <c r="Z71" s="366"/>
      <c r="AA71" s="366"/>
      <c r="AB71" s="367"/>
    </row>
    <row r="72" spans="1:28" ht="13.5" hidden="1" customHeight="1">
      <c r="A72" s="1052"/>
      <c r="B72" s="353"/>
      <c r="C72" s="353"/>
      <c r="D72" s="353"/>
      <c r="E72" s="368"/>
      <c r="F72" s="363"/>
      <c r="G72" s="363"/>
      <c r="H72" s="363"/>
      <c r="I72" s="363"/>
      <c r="J72" s="363"/>
      <c r="K72" s="363"/>
      <c r="L72" s="363"/>
      <c r="M72" s="363"/>
      <c r="N72" s="363"/>
      <c r="O72" s="363"/>
      <c r="P72" s="363"/>
      <c r="Q72" s="363"/>
      <c r="R72" s="363"/>
      <c r="S72" s="363"/>
      <c r="T72" s="410"/>
      <c r="U72" s="437"/>
      <c r="V72" s="365"/>
      <c r="W72" s="365">
        <f t="shared" ref="W72:W126" si="35">ROUNDUP((S72-J72)*6.67%*1/2,-1)</f>
        <v>0</v>
      </c>
      <c r="X72" s="366">
        <f t="shared" ref="X72:X126" si="36">ROUNDUP(W72*10.25%,-1)</f>
        <v>0</v>
      </c>
      <c r="Y72" s="366">
        <f t="shared" ref="Y72:Y126" si="37">ROUND(S72*1.05%,-1)</f>
        <v>0</v>
      </c>
      <c r="Z72" s="366"/>
      <c r="AA72" s="366"/>
      <c r="AB72" s="367"/>
    </row>
    <row r="73" spans="1:28" ht="13.5" hidden="1" customHeight="1">
      <c r="A73" s="1052"/>
      <c r="B73" s="353"/>
      <c r="C73" s="353"/>
      <c r="D73" s="353"/>
      <c r="E73" s="368"/>
      <c r="F73" s="363"/>
      <c r="G73" s="363"/>
      <c r="H73" s="363"/>
      <c r="I73" s="363"/>
      <c r="J73" s="363"/>
      <c r="K73" s="363"/>
      <c r="L73" s="363"/>
      <c r="M73" s="363"/>
      <c r="N73" s="363"/>
      <c r="O73" s="363"/>
      <c r="P73" s="363"/>
      <c r="Q73" s="363"/>
      <c r="R73" s="363"/>
      <c r="S73" s="363"/>
      <c r="T73" s="410"/>
      <c r="U73" s="437"/>
      <c r="V73" s="365"/>
      <c r="W73" s="365">
        <f t="shared" si="35"/>
        <v>0</v>
      </c>
      <c r="X73" s="366">
        <f t="shared" si="36"/>
        <v>0</v>
      </c>
      <c r="Y73" s="366">
        <f t="shared" si="37"/>
        <v>0</v>
      </c>
      <c r="Z73" s="366"/>
      <c r="AA73" s="366"/>
      <c r="AB73" s="367"/>
    </row>
    <row r="74" spans="1:28" ht="13.5" hidden="1" customHeight="1">
      <c r="A74" s="1052"/>
      <c r="B74" s="353"/>
      <c r="C74" s="353"/>
      <c r="D74" s="353"/>
      <c r="E74" s="368"/>
      <c r="F74" s="363"/>
      <c r="G74" s="363"/>
      <c r="H74" s="363"/>
      <c r="I74" s="363"/>
      <c r="J74" s="363"/>
      <c r="K74" s="363"/>
      <c r="L74" s="363"/>
      <c r="M74" s="363"/>
      <c r="N74" s="363"/>
      <c r="O74" s="363"/>
      <c r="P74" s="363"/>
      <c r="Q74" s="363"/>
      <c r="R74" s="363"/>
      <c r="S74" s="363"/>
      <c r="T74" s="410"/>
      <c r="U74" s="437"/>
      <c r="V74" s="365"/>
      <c r="W74" s="365">
        <f t="shared" si="35"/>
        <v>0</v>
      </c>
      <c r="X74" s="366">
        <f t="shared" si="36"/>
        <v>0</v>
      </c>
      <c r="Y74" s="366">
        <f t="shared" si="37"/>
        <v>0</v>
      </c>
      <c r="Z74" s="366"/>
      <c r="AA74" s="366"/>
      <c r="AB74" s="367"/>
    </row>
    <row r="75" spans="1:28" ht="13.5" hidden="1" customHeight="1">
      <c r="A75" s="1057"/>
      <c r="B75" s="411"/>
      <c r="C75" s="411"/>
      <c r="D75" s="411"/>
      <c r="E75" s="412"/>
      <c r="F75" s="363"/>
      <c r="G75" s="413"/>
      <c r="H75" s="413"/>
      <c r="I75" s="413"/>
      <c r="J75" s="413"/>
      <c r="K75" s="363"/>
      <c r="L75" s="413"/>
      <c r="M75" s="413"/>
      <c r="N75" s="363"/>
      <c r="O75" s="363"/>
      <c r="P75" s="363"/>
      <c r="Q75" s="413"/>
      <c r="R75" s="413"/>
      <c r="S75" s="413"/>
      <c r="T75" s="410"/>
      <c r="U75" s="432"/>
      <c r="V75" s="417"/>
      <c r="W75" s="365">
        <f t="shared" si="35"/>
        <v>0</v>
      </c>
      <c r="X75" s="366">
        <f t="shared" si="36"/>
        <v>0</v>
      </c>
      <c r="Y75" s="366">
        <f t="shared" si="37"/>
        <v>0</v>
      </c>
      <c r="Z75" s="366"/>
      <c r="AA75" s="366"/>
      <c r="AB75" s="419"/>
    </row>
    <row r="76" spans="1:28" ht="18" hidden="1" customHeight="1">
      <c r="A76" s="1051"/>
      <c r="B76" s="411"/>
      <c r="C76" s="411"/>
      <c r="D76" s="411"/>
      <c r="E76" s="430"/>
      <c r="F76" s="414"/>
      <c r="G76" s="414"/>
      <c r="H76" s="414"/>
      <c r="I76" s="414"/>
      <c r="J76" s="414"/>
      <c r="K76" s="414"/>
      <c r="L76" s="414"/>
      <c r="M76" s="414"/>
      <c r="N76" s="414"/>
      <c r="O76" s="414"/>
      <c r="P76" s="414"/>
      <c r="Q76" s="414"/>
      <c r="R76" s="414"/>
      <c r="S76" s="414"/>
      <c r="T76" s="431"/>
      <c r="U76" s="432"/>
      <c r="V76" s="358"/>
      <c r="W76" s="365">
        <f t="shared" si="35"/>
        <v>0</v>
      </c>
      <c r="X76" s="366">
        <f t="shared" si="36"/>
        <v>0</v>
      </c>
      <c r="Y76" s="366">
        <f t="shared" si="37"/>
        <v>0</v>
      </c>
      <c r="Z76" s="356"/>
      <c r="AA76" s="356"/>
      <c r="AB76" s="359"/>
    </row>
    <row r="77" spans="1:28" ht="13.5" hidden="1" customHeight="1">
      <c r="A77" s="1052"/>
      <c r="B77" s="402"/>
      <c r="C77" s="402"/>
      <c r="D77" s="402"/>
      <c r="E77" s="433"/>
      <c r="F77" s="434"/>
      <c r="G77" s="435"/>
      <c r="H77" s="434"/>
      <c r="I77" s="434"/>
      <c r="J77" s="435"/>
      <c r="K77" s="435"/>
      <c r="L77" s="435"/>
      <c r="M77" s="435"/>
      <c r="N77" s="435"/>
      <c r="O77" s="435"/>
      <c r="P77" s="435"/>
      <c r="Q77" s="435"/>
      <c r="R77" s="435"/>
      <c r="S77" s="435"/>
      <c r="T77" s="410"/>
      <c r="U77" s="436"/>
      <c r="V77" s="365"/>
      <c r="W77" s="365">
        <f t="shared" si="35"/>
        <v>0</v>
      </c>
      <c r="X77" s="366">
        <f t="shared" si="36"/>
        <v>0</v>
      </c>
      <c r="Y77" s="366">
        <f t="shared" si="37"/>
        <v>0</v>
      </c>
      <c r="Z77" s="366"/>
      <c r="AA77" s="366"/>
      <c r="AB77" s="367"/>
    </row>
    <row r="78" spans="1:28" ht="13.5" hidden="1" customHeight="1">
      <c r="A78" s="1052"/>
      <c r="B78" s="353"/>
      <c r="C78" s="353"/>
      <c r="D78" s="353"/>
      <c r="E78" s="368"/>
      <c r="F78" s="363"/>
      <c r="G78" s="363"/>
      <c r="H78" s="363"/>
      <c r="I78" s="363"/>
      <c r="J78" s="363"/>
      <c r="K78" s="363"/>
      <c r="L78" s="363"/>
      <c r="M78" s="363"/>
      <c r="N78" s="363"/>
      <c r="O78" s="363"/>
      <c r="P78" s="363"/>
      <c r="Q78" s="363"/>
      <c r="R78" s="363"/>
      <c r="S78" s="363"/>
      <c r="T78" s="410"/>
      <c r="U78" s="437"/>
      <c r="V78" s="365"/>
      <c r="W78" s="365">
        <f t="shared" si="35"/>
        <v>0</v>
      </c>
      <c r="X78" s="366">
        <f t="shared" si="36"/>
        <v>0</v>
      </c>
      <c r="Y78" s="366">
        <f t="shared" si="37"/>
        <v>0</v>
      </c>
      <c r="Z78" s="366"/>
      <c r="AA78" s="366"/>
      <c r="AB78" s="367"/>
    </row>
    <row r="79" spans="1:28" ht="13.5" hidden="1" customHeight="1">
      <c r="A79" s="1052"/>
      <c r="B79" s="353"/>
      <c r="C79" s="353"/>
      <c r="D79" s="353"/>
      <c r="E79" s="368"/>
      <c r="F79" s="363"/>
      <c r="G79" s="363"/>
      <c r="H79" s="363"/>
      <c r="I79" s="363"/>
      <c r="J79" s="363"/>
      <c r="K79" s="363"/>
      <c r="L79" s="363"/>
      <c r="M79" s="363"/>
      <c r="N79" s="363"/>
      <c r="O79" s="363"/>
      <c r="P79" s="363"/>
      <c r="Q79" s="363"/>
      <c r="R79" s="363"/>
      <c r="S79" s="363"/>
      <c r="T79" s="410"/>
      <c r="U79" s="437"/>
      <c r="V79" s="365"/>
      <c r="W79" s="365">
        <f t="shared" si="35"/>
        <v>0</v>
      </c>
      <c r="X79" s="366">
        <f t="shared" si="36"/>
        <v>0</v>
      </c>
      <c r="Y79" s="366">
        <f t="shared" si="37"/>
        <v>0</v>
      </c>
      <c r="Z79" s="366"/>
      <c r="AA79" s="366"/>
      <c r="AB79" s="367"/>
    </row>
    <row r="80" spans="1:28" ht="13.5" hidden="1" customHeight="1">
      <c r="A80" s="1052"/>
      <c r="B80" s="353"/>
      <c r="C80" s="353"/>
      <c r="D80" s="353"/>
      <c r="E80" s="368"/>
      <c r="F80" s="363"/>
      <c r="G80" s="363"/>
      <c r="H80" s="363"/>
      <c r="I80" s="363"/>
      <c r="J80" s="363"/>
      <c r="K80" s="363"/>
      <c r="L80" s="363"/>
      <c r="M80" s="363"/>
      <c r="N80" s="363"/>
      <c r="O80" s="363"/>
      <c r="P80" s="363"/>
      <c r="Q80" s="363"/>
      <c r="R80" s="363"/>
      <c r="S80" s="363"/>
      <c r="T80" s="410"/>
      <c r="U80" s="437"/>
      <c r="V80" s="365"/>
      <c r="W80" s="365">
        <f t="shared" si="35"/>
        <v>0</v>
      </c>
      <c r="X80" s="366">
        <f t="shared" si="36"/>
        <v>0</v>
      </c>
      <c r="Y80" s="366">
        <f t="shared" si="37"/>
        <v>0</v>
      </c>
      <c r="Z80" s="366"/>
      <c r="AA80" s="366"/>
      <c r="AB80" s="367"/>
    </row>
    <row r="81" spans="1:28" ht="13.5" hidden="1" customHeight="1">
      <c r="A81" s="1052"/>
      <c r="B81" s="353"/>
      <c r="C81" s="353"/>
      <c r="D81" s="353"/>
      <c r="E81" s="368"/>
      <c r="F81" s="363"/>
      <c r="G81" s="363"/>
      <c r="H81" s="363"/>
      <c r="I81" s="363"/>
      <c r="J81" s="363"/>
      <c r="K81" s="363"/>
      <c r="L81" s="363"/>
      <c r="M81" s="363"/>
      <c r="N81" s="363"/>
      <c r="O81" s="363"/>
      <c r="P81" s="363"/>
      <c r="Q81" s="363"/>
      <c r="R81" s="363"/>
      <c r="S81" s="363"/>
      <c r="T81" s="410"/>
      <c r="U81" s="437"/>
      <c r="V81" s="365"/>
      <c r="W81" s="365">
        <f t="shared" si="35"/>
        <v>0</v>
      </c>
      <c r="X81" s="366">
        <f t="shared" si="36"/>
        <v>0</v>
      </c>
      <c r="Y81" s="366">
        <f t="shared" si="37"/>
        <v>0</v>
      </c>
      <c r="Z81" s="366"/>
      <c r="AA81" s="366"/>
      <c r="AB81" s="367"/>
    </row>
    <row r="82" spans="1:28" ht="13.5" hidden="1" customHeight="1">
      <c r="A82" s="1052"/>
      <c r="B82" s="353"/>
      <c r="C82" s="353"/>
      <c r="D82" s="353"/>
      <c r="E82" s="368"/>
      <c r="F82" s="363"/>
      <c r="G82" s="363"/>
      <c r="H82" s="363"/>
      <c r="I82" s="363"/>
      <c r="J82" s="363"/>
      <c r="K82" s="363"/>
      <c r="L82" s="363"/>
      <c r="M82" s="363"/>
      <c r="N82" s="363"/>
      <c r="O82" s="363"/>
      <c r="P82" s="363"/>
      <c r="Q82" s="363"/>
      <c r="R82" s="363"/>
      <c r="S82" s="363"/>
      <c r="T82" s="410"/>
      <c r="U82" s="437"/>
      <c r="V82" s="365"/>
      <c r="W82" s="365">
        <f t="shared" si="35"/>
        <v>0</v>
      </c>
      <c r="X82" s="366">
        <f t="shared" si="36"/>
        <v>0</v>
      </c>
      <c r="Y82" s="366">
        <f t="shared" si="37"/>
        <v>0</v>
      </c>
      <c r="Z82" s="366"/>
      <c r="AA82" s="366"/>
      <c r="AB82" s="367"/>
    </row>
    <row r="83" spans="1:28" ht="13.5" hidden="1" customHeight="1">
      <c r="A83" s="1052"/>
      <c r="B83" s="353"/>
      <c r="C83" s="353"/>
      <c r="D83" s="353"/>
      <c r="E83" s="368"/>
      <c r="F83" s="363"/>
      <c r="G83" s="363"/>
      <c r="H83" s="364"/>
      <c r="I83" s="363"/>
      <c r="J83" s="363"/>
      <c r="K83" s="363"/>
      <c r="L83" s="363"/>
      <c r="M83" s="363"/>
      <c r="N83" s="363"/>
      <c r="O83" s="363"/>
      <c r="P83" s="363"/>
      <c r="Q83" s="363"/>
      <c r="R83" s="363"/>
      <c r="S83" s="363"/>
      <c r="T83" s="410"/>
      <c r="U83" s="437"/>
      <c r="V83" s="365"/>
      <c r="W83" s="365">
        <f t="shared" si="35"/>
        <v>0</v>
      </c>
      <c r="X83" s="366">
        <f t="shared" si="36"/>
        <v>0</v>
      </c>
      <c r="Y83" s="366">
        <f t="shared" si="37"/>
        <v>0</v>
      </c>
      <c r="Z83" s="366"/>
      <c r="AA83" s="366"/>
      <c r="AB83" s="367"/>
    </row>
    <row r="84" spans="1:28" ht="13.5" hidden="1" customHeight="1">
      <c r="A84" s="1052"/>
      <c r="B84" s="353"/>
      <c r="C84" s="353"/>
      <c r="D84" s="353"/>
      <c r="E84" s="368"/>
      <c r="F84" s="363"/>
      <c r="G84" s="363"/>
      <c r="H84" s="363"/>
      <c r="I84" s="363"/>
      <c r="J84" s="363"/>
      <c r="K84" s="363"/>
      <c r="L84" s="363"/>
      <c r="M84" s="363"/>
      <c r="N84" s="363"/>
      <c r="O84" s="363"/>
      <c r="P84" s="363"/>
      <c r="Q84" s="363"/>
      <c r="R84" s="363"/>
      <c r="S84" s="363"/>
      <c r="T84" s="410"/>
      <c r="U84" s="437"/>
      <c r="V84" s="365"/>
      <c r="W84" s="365">
        <f t="shared" si="35"/>
        <v>0</v>
      </c>
      <c r="X84" s="366">
        <f t="shared" si="36"/>
        <v>0</v>
      </c>
      <c r="Y84" s="366">
        <f t="shared" si="37"/>
        <v>0</v>
      </c>
      <c r="Z84" s="366"/>
      <c r="AA84" s="366"/>
      <c r="AB84" s="367"/>
    </row>
    <row r="85" spans="1:28" ht="13.5" hidden="1" customHeight="1">
      <c r="A85" s="1052"/>
      <c r="B85" s="353"/>
      <c r="C85" s="353"/>
      <c r="D85" s="353"/>
      <c r="E85" s="368"/>
      <c r="F85" s="363"/>
      <c r="G85" s="363"/>
      <c r="H85" s="363"/>
      <c r="I85" s="363"/>
      <c r="J85" s="363"/>
      <c r="K85" s="363"/>
      <c r="L85" s="363"/>
      <c r="M85" s="363"/>
      <c r="N85" s="363"/>
      <c r="O85" s="363"/>
      <c r="P85" s="363"/>
      <c r="Q85" s="363"/>
      <c r="R85" s="363"/>
      <c r="S85" s="363"/>
      <c r="T85" s="410"/>
      <c r="U85" s="437"/>
      <c r="V85" s="365"/>
      <c r="W85" s="365">
        <f t="shared" si="35"/>
        <v>0</v>
      </c>
      <c r="X85" s="366">
        <f t="shared" si="36"/>
        <v>0</v>
      </c>
      <c r="Y85" s="366">
        <f t="shared" si="37"/>
        <v>0</v>
      </c>
      <c r="Z85" s="366"/>
      <c r="AA85" s="366"/>
      <c r="AB85" s="367"/>
    </row>
    <row r="86" spans="1:28" ht="13.5" hidden="1" customHeight="1">
      <c r="A86" s="1052"/>
      <c r="B86" s="353"/>
      <c r="C86" s="353"/>
      <c r="D86" s="353"/>
      <c r="E86" s="368"/>
      <c r="F86" s="363"/>
      <c r="G86" s="363"/>
      <c r="H86" s="363"/>
      <c r="I86" s="363"/>
      <c r="J86" s="363"/>
      <c r="K86" s="363"/>
      <c r="L86" s="363"/>
      <c r="M86" s="363"/>
      <c r="N86" s="363"/>
      <c r="O86" s="363"/>
      <c r="P86" s="363"/>
      <c r="Q86" s="363"/>
      <c r="R86" s="363"/>
      <c r="S86" s="363"/>
      <c r="T86" s="410"/>
      <c r="U86" s="437"/>
      <c r="V86" s="365"/>
      <c r="W86" s="365">
        <f t="shared" si="35"/>
        <v>0</v>
      </c>
      <c r="X86" s="366">
        <f t="shared" si="36"/>
        <v>0</v>
      </c>
      <c r="Y86" s="366">
        <f t="shared" si="37"/>
        <v>0</v>
      </c>
      <c r="Z86" s="366"/>
      <c r="AA86" s="366"/>
      <c r="AB86" s="367"/>
    </row>
    <row r="87" spans="1:28" ht="13.5" hidden="1" customHeight="1">
      <c r="A87" s="1052"/>
      <c r="B87" s="353"/>
      <c r="C87" s="353"/>
      <c r="D87" s="353"/>
      <c r="E87" s="368"/>
      <c r="F87" s="363"/>
      <c r="G87" s="363"/>
      <c r="H87" s="363"/>
      <c r="I87" s="363"/>
      <c r="J87" s="363"/>
      <c r="K87" s="363"/>
      <c r="L87" s="363"/>
      <c r="M87" s="363"/>
      <c r="N87" s="363"/>
      <c r="O87" s="363"/>
      <c r="P87" s="363"/>
      <c r="Q87" s="363"/>
      <c r="R87" s="363"/>
      <c r="S87" s="363"/>
      <c r="T87" s="410"/>
      <c r="U87" s="437"/>
      <c r="V87" s="365"/>
      <c r="W87" s="365">
        <f t="shared" si="35"/>
        <v>0</v>
      </c>
      <c r="X87" s="366">
        <f t="shared" si="36"/>
        <v>0</v>
      </c>
      <c r="Y87" s="366">
        <f t="shared" si="37"/>
        <v>0</v>
      </c>
      <c r="Z87" s="366"/>
      <c r="AA87" s="366"/>
      <c r="AB87" s="367"/>
    </row>
    <row r="88" spans="1:28" ht="13.5" hidden="1" customHeight="1">
      <c r="A88" s="1057"/>
      <c r="B88" s="411"/>
      <c r="C88" s="411"/>
      <c r="D88" s="411"/>
      <c r="E88" s="412"/>
      <c r="F88" s="363"/>
      <c r="G88" s="413"/>
      <c r="H88" s="413"/>
      <c r="I88" s="413"/>
      <c r="J88" s="413"/>
      <c r="K88" s="413"/>
      <c r="L88" s="413"/>
      <c r="M88" s="413"/>
      <c r="N88" s="413"/>
      <c r="O88" s="413"/>
      <c r="P88" s="413"/>
      <c r="Q88" s="413"/>
      <c r="R88" s="413"/>
      <c r="S88" s="413"/>
      <c r="T88" s="410"/>
      <c r="U88" s="432"/>
      <c r="V88" s="417"/>
      <c r="W88" s="365">
        <f t="shared" si="35"/>
        <v>0</v>
      </c>
      <c r="X88" s="366">
        <f t="shared" si="36"/>
        <v>0</v>
      </c>
      <c r="Y88" s="366">
        <f t="shared" si="37"/>
        <v>0</v>
      </c>
      <c r="Z88" s="366"/>
      <c r="AA88" s="366"/>
      <c r="AB88" s="419"/>
    </row>
    <row r="89" spans="1:28" ht="18" hidden="1" customHeight="1">
      <c r="A89" s="1058">
        <v>1</v>
      </c>
      <c r="B89" s="438" t="s">
        <v>303</v>
      </c>
      <c r="C89" s="411">
        <v>1</v>
      </c>
      <c r="D89" s="411">
        <v>1</v>
      </c>
      <c r="E89" s="430" t="s">
        <v>164</v>
      </c>
      <c r="F89" s="414">
        <f t="shared" ref="F89:O89" si="38">SUM(F90:F101)</f>
        <v>0</v>
      </c>
      <c r="G89" s="414">
        <f t="shared" si="38"/>
        <v>0</v>
      </c>
      <c r="H89" s="414">
        <f t="shared" si="38"/>
        <v>0</v>
      </c>
      <c r="I89" s="414">
        <f t="shared" si="38"/>
        <v>0</v>
      </c>
      <c r="J89" s="414">
        <f t="shared" si="38"/>
        <v>0</v>
      </c>
      <c r="K89" s="414">
        <f t="shared" si="38"/>
        <v>0</v>
      </c>
      <c r="L89" s="414">
        <f t="shared" si="38"/>
        <v>0</v>
      </c>
      <c r="M89" s="414">
        <f t="shared" si="38"/>
        <v>0</v>
      </c>
      <c r="N89" s="414">
        <f t="shared" si="38"/>
        <v>0</v>
      </c>
      <c r="O89" s="414">
        <f t="shared" si="38"/>
        <v>0</v>
      </c>
      <c r="P89" s="414"/>
      <c r="Q89" s="414">
        <f>SUM(Q90:Q101)</f>
        <v>0</v>
      </c>
      <c r="R89" s="414">
        <f>SUM(R90:R101)</f>
        <v>0</v>
      </c>
      <c r="S89" s="414">
        <f>SUM(S90:S101)</f>
        <v>0</v>
      </c>
      <c r="T89" s="431">
        <f>SUM(T90:T101)</f>
        <v>0</v>
      </c>
      <c r="U89" s="432"/>
      <c r="V89" s="358">
        <f>SUM(V90:V101)</f>
        <v>0</v>
      </c>
      <c r="W89" s="365">
        <f t="shared" si="35"/>
        <v>0</v>
      </c>
      <c r="X89" s="366">
        <f t="shared" si="36"/>
        <v>0</v>
      </c>
      <c r="Y89" s="366">
        <f t="shared" si="37"/>
        <v>0</v>
      </c>
      <c r="Z89" s="356">
        <f>SUM(Z90:Z101)</f>
        <v>0</v>
      </c>
      <c r="AA89" s="356">
        <f>SUM(AA90:AA101)</f>
        <v>0</v>
      </c>
      <c r="AB89" s="359">
        <f>SUM(AB90:AB101)</f>
        <v>0</v>
      </c>
    </row>
    <row r="90" spans="1:28" ht="13.5" hidden="1" customHeight="1">
      <c r="A90" s="1059"/>
      <c r="B90" s="439" t="s">
        <v>78</v>
      </c>
      <c r="C90" s="402"/>
      <c r="D90" s="402"/>
      <c r="E90" s="433" t="s">
        <v>94</v>
      </c>
      <c r="F90" s="434"/>
      <c r="G90" s="435"/>
      <c r="H90" s="434"/>
      <c r="I90" s="434"/>
      <c r="J90" s="435"/>
      <c r="K90" s="435"/>
      <c r="L90" s="435"/>
      <c r="M90" s="363"/>
      <c r="N90" s="435"/>
      <c r="O90" s="435"/>
      <c r="P90" s="435"/>
      <c r="Q90" s="435"/>
      <c r="R90" s="435"/>
      <c r="S90" s="435"/>
      <c r="T90" s="410"/>
      <c r="U90" s="436"/>
      <c r="V90" s="365"/>
      <c r="W90" s="365">
        <f t="shared" si="35"/>
        <v>0</v>
      </c>
      <c r="X90" s="366">
        <f t="shared" si="36"/>
        <v>0</v>
      </c>
      <c r="Y90" s="366">
        <f t="shared" si="37"/>
        <v>0</v>
      </c>
      <c r="Z90" s="366"/>
      <c r="AA90" s="366"/>
      <c r="AB90" s="367"/>
    </row>
    <row r="91" spans="1:28" ht="13.5" hidden="1" customHeight="1">
      <c r="A91" s="1059"/>
      <c r="B91" s="440"/>
      <c r="C91" s="353"/>
      <c r="D91" s="353"/>
      <c r="E91" s="368" t="s">
        <v>150</v>
      </c>
      <c r="F91" s="363"/>
      <c r="G91" s="363"/>
      <c r="H91" s="363"/>
      <c r="I91" s="363"/>
      <c r="J91" s="363"/>
      <c r="K91" s="363"/>
      <c r="L91" s="363"/>
      <c r="M91" s="363"/>
      <c r="N91" s="363"/>
      <c r="O91" s="363"/>
      <c r="P91" s="363"/>
      <c r="Q91" s="363"/>
      <c r="R91" s="363"/>
      <c r="S91" s="363"/>
      <c r="T91" s="410"/>
      <c r="U91" s="437"/>
      <c r="V91" s="365"/>
      <c r="W91" s="365">
        <f t="shared" si="35"/>
        <v>0</v>
      </c>
      <c r="X91" s="366">
        <f t="shared" si="36"/>
        <v>0</v>
      </c>
      <c r="Y91" s="366">
        <f t="shared" si="37"/>
        <v>0</v>
      </c>
      <c r="Z91" s="366"/>
      <c r="AA91" s="366"/>
      <c r="AB91" s="367"/>
    </row>
    <row r="92" spans="1:28" ht="13.5" hidden="1" customHeight="1">
      <c r="A92" s="1059"/>
      <c r="B92" s="440"/>
      <c r="C92" s="353"/>
      <c r="D92" s="353"/>
      <c r="E92" s="368" t="s">
        <v>82</v>
      </c>
      <c r="F92" s="363"/>
      <c r="G92" s="363"/>
      <c r="H92" s="363"/>
      <c r="I92" s="363"/>
      <c r="J92" s="363"/>
      <c r="K92" s="363"/>
      <c r="L92" s="363"/>
      <c r="M92" s="363"/>
      <c r="N92" s="363"/>
      <c r="O92" s="363"/>
      <c r="P92" s="363"/>
      <c r="Q92" s="363"/>
      <c r="R92" s="363"/>
      <c r="S92" s="363"/>
      <c r="T92" s="410">
        <f t="shared" ref="T92:T101" si="39">SUM(S92,P92,O92,M92,L92,F92)</f>
        <v>0</v>
      </c>
      <c r="U92" s="437"/>
      <c r="V92" s="365"/>
      <c r="W92" s="365">
        <f t="shared" si="35"/>
        <v>0</v>
      </c>
      <c r="X92" s="366">
        <f t="shared" si="36"/>
        <v>0</v>
      </c>
      <c r="Y92" s="366">
        <f t="shared" si="37"/>
        <v>0</v>
      </c>
      <c r="Z92" s="366"/>
      <c r="AA92" s="366"/>
      <c r="AB92" s="367"/>
    </row>
    <row r="93" spans="1:28" ht="13.5" hidden="1" customHeight="1">
      <c r="A93" s="1059"/>
      <c r="B93" s="440"/>
      <c r="C93" s="353"/>
      <c r="D93" s="353"/>
      <c r="E93" s="368" t="s">
        <v>159</v>
      </c>
      <c r="F93" s="363"/>
      <c r="G93" s="363"/>
      <c r="H93" s="363"/>
      <c r="I93" s="363"/>
      <c r="J93" s="363"/>
      <c r="K93" s="363"/>
      <c r="L93" s="363"/>
      <c r="M93" s="363"/>
      <c r="N93" s="363"/>
      <c r="O93" s="363"/>
      <c r="P93" s="363"/>
      <c r="Q93" s="363"/>
      <c r="R93" s="363"/>
      <c r="S93" s="363"/>
      <c r="T93" s="410">
        <f t="shared" si="39"/>
        <v>0</v>
      </c>
      <c r="U93" s="437"/>
      <c r="V93" s="365"/>
      <c r="W93" s="365">
        <f t="shared" si="35"/>
        <v>0</v>
      </c>
      <c r="X93" s="366">
        <f t="shared" si="36"/>
        <v>0</v>
      </c>
      <c r="Y93" s="366">
        <f t="shared" si="37"/>
        <v>0</v>
      </c>
      <c r="Z93" s="366"/>
      <c r="AA93" s="366"/>
      <c r="AB93" s="367"/>
    </row>
    <row r="94" spans="1:28" ht="13.5" hidden="1" customHeight="1">
      <c r="A94" s="1059"/>
      <c r="B94" s="440"/>
      <c r="C94" s="353"/>
      <c r="D94" s="353"/>
      <c r="E94" s="368" t="s">
        <v>61</v>
      </c>
      <c r="F94" s="363"/>
      <c r="G94" s="363"/>
      <c r="H94" s="363"/>
      <c r="I94" s="363"/>
      <c r="J94" s="363"/>
      <c r="K94" s="363"/>
      <c r="L94" s="363"/>
      <c r="M94" s="363"/>
      <c r="N94" s="363"/>
      <c r="O94" s="363"/>
      <c r="P94" s="363"/>
      <c r="Q94" s="363"/>
      <c r="R94" s="363"/>
      <c r="S94" s="363"/>
      <c r="T94" s="410">
        <f t="shared" si="39"/>
        <v>0</v>
      </c>
      <c r="U94" s="437"/>
      <c r="V94" s="365">
        <f t="shared" ref="V94:V101" si="40">ROUNDUP(T94*1/12,-1)</f>
        <v>0</v>
      </c>
      <c r="W94" s="365">
        <f t="shared" si="35"/>
        <v>0</v>
      </c>
      <c r="X94" s="366">
        <f t="shared" si="36"/>
        <v>0</v>
      </c>
      <c r="Y94" s="366">
        <f t="shared" si="37"/>
        <v>0</v>
      </c>
      <c r="Z94" s="366">
        <f t="shared" ref="Z94:Z101" si="41">ROUND(T94*0.8%,-1)</f>
        <v>0</v>
      </c>
      <c r="AA94" s="366">
        <f t="shared" ref="AA94:AA101" si="42">ROUND(T94*0.785%,-1)</f>
        <v>0</v>
      </c>
      <c r="AB94" s="367">
        <f t="shared" ref="AB94:AB101" si="43">SUM(V94:AA94)</f>
        <v>0</v>
      </c>
    </row>
    <row r="95" spans="1:28" ht="13.5" hidden="1" customHeight="1">
      <c r="A95" s="1059"/>
      <c r="B95" s="440"/>
      <c r="C95" s="353"/>
      <c r="D95" s="353"/>
      <c r="E95" s="368" t="s">
        <v>156</v>
      </c>
      <c r="F95" s="363"/>
      <c r="G95" s="363"/>
      <c r="H95" s="363"/>
      <c r="I95" s="363"/>
      <c r="J95" s="363"/>
      <c r="K95" s="363"/>
      <c r="L95" s="363"/>
      <c r="M95" s="363"/>
      <c r="N95" s="363"/>
      <c r="O95" s="363"/>
      <c r="P95" s="363"/>
      <c r="Q95" s="363"/>
      <c r="R95" s="363"/>
      <c r="S95" s="363"/>
      <c r="T95" s="410">
        <f t="shared" si="39"/>
        <v>0</v>
      </c>
      <c r="U95" s="437"/>
      <c r="V95" s="365">
        <f t="shared" si="40"/>
        <v>0</v>
      </c>
      <c r="W95" s="365">
        <f t="shared" si="35"/>
        <v>0</v>
      </c>
      <c r="X95" s="366">
        <f t="shared" si="36"/>
        <v>0</v>
      </c>
      <c r="Y95" s="366">
        <f t="shared" si="37"/>
        <v>0</v>
      </c>
      <c r="Z95" s="366">
        <f t="shared" si="41"/>
        <v>0</v>
      </c>
      <c r="AA95" s="366">
        <f t="shared" si="42"/>
        <v>0</v>
      </c>
      <c r="AB95" s="367">
        <f t="shared" si="43"/>
        <v>0</v>
      </c>
    </row>
    <row r="96" spans="1:28" ht="13.5" hidden="1" customHeight="1">
      <c r="A96" s="1059"/>
      <c r="B96" s="440"/>
      <c r="C96" s="353"/>
      <c r="D96" s="353"/>
      <c r="E96" s="368" t="s">
        <v>136</v>
      </c>
      <c r="F96" s="363"/>
      <c r="G96" s="363"/>
      <c r="H96" s="364"/>
      <c r="I96" s="363"/>
      <c r="J96" s="363"/>
      <c r="K96" s="363"/>
      <c r="L96" s="363"/>
      <c r="M96" s="363"/>
      <c r="N96" s="363"/>
      <c r="O96" s="363"/>
      <c r="P96" s="363"/>
      <c r="Q96" s="363"/>
      <c r="R96" s="363"/>
      <c r="S96" s="363"/>
      <c r="T96" s="410">
        <f t="shared" si="39"/>
        <v>0</v>
      </c>
      <c r="U96" s="437"/>
      <c r="V96" s="365">
        <f t="shared" si="40"/>
        <v>0</v>
      </c>
      <c r="W96" s="365">
        <f t="shared" si="35"/>
        <v>0</v>
      </c>
      <c r="X96" s="366">
        <f t="shared" si="36"/>
        <v>0</v>
      </c>
      <c r="Y96" s="366">
        <f t="shared" si="37"/>
        <v>0</v>
      </c>
      <c r="Z96" s="366">
        <f t="shared" si="41"/>
        <v>0</v>
      </c>
      <c r="AA96" s="366">
        <f t="shared" si="42"/>
        <v>0</v>
      </c>
      <c r="AB96" s="367">
        <f t="shared" si="43"/>
        <v>0</v>
      </c>
    </row>
    <row r="97" spans="1:28" ht="13.5" hidden="1" customHeight="1">
      <c r="A97" s="1059"/>
      <c r="B97" s="440"/>
      <c r="C97" s="353"/>
      <c r="D97" s="353"/>
      <c r="E97" s="368" t="s">
        <v>84</v>
      </c>
      <c r="F97" s="363"/>
      <c r="G97" s="363"/>
      <c r="H97" s="363"/>
      <c r="I97" s="363"/>
      <c r="J97" s="363"/>
      <c r="K97" s="363"/>
      <c r="L97" s="363"/>
      <c r="M97" s="363"/>
      <c r="N97" s="363"/>
      <c r="O97" s="363"/>
      <c r="P97" s="363"/>
      <c r="Q97" s="363"/>
      <c r="R97" s="363"/>
      <c r="S97" s="363"/>
      <c r="T97" s="410">
        <f t="shared" si="39"/>
        <v>0</v>
      </c>
      <c r="U97" s="437"/>
      <c r="V97" s="365">
        <f t="shared" si="40"/>
        <v>0</v>
      </c>
      <c r="W97" s="365">
        <f t="shared" si="35"/>
        <v>0</v>
      </c>
      <c r="X97" s="366">
        <f t="shared" si="36"/>
        <v>0</v>
      </c>
      <c r="Y97" s="366">
        <f t="shared" si="37"/>
        <v>0</v>
      </c>
      <c r="Z97" s="366">
        <f t="shared" si="41"/>
        <v>0</v>
      </c>
      <c r="AA97" s="366">
        <f t="shared" si="42"/>
        <v>0</v>
      </c>
      <c r="AB97" s="367">
        <f t="shared" si="43"/>
        <v>0</v>
      </c>
    </row>
    <row r="98" spans="1:28" ht="13.5" hidden="1" customHeight="1">
      <c r="A98" s="1059"/>
      <c r="B98" s="440"/>
      <c r="C98" s="353"/>
      <c r="D98" s="353"/>
      <c r="E98" s="368" t="s">
        <v>67</v>
      </c>
      <c r="F98" s="363"/>
      <c r="G98" s="363"/>
      <c r="H98" s="363"/>
      <c r="I98" s="363"/>
      <c r="J98" s="363"/>
      <c r="K98" s="363"/>
      <c r="L98" s="363"/>
      <c r="M98" s="363"/>
      <c r="N98" s="363"/>
      <c r="O98" s="363"/>
      <c r="P98" s="363"/>
      <c r="Q98" s="363"/>
      <c r="R98" s="363"/>
      <c r="S98" s="363"/>
      <c r="T98" s="410">
        <f t="shared" si="39"/>
        <v>0</v>
      </c>
      <c r="U98" s="437"/>
      <c r="V98" s="365">
        <f t="shared" si="40"/>
        <v>0</v>
      </c>
      <c r="W98" s="365">
        <f t="shared" si="35"/>
        <v>0</v>
      </c>
      <c r="X98" s="366">
        <f t="shared" si="36"/>
        <v>0</v>
      </c>
      <c r="Y98" s="366">
        <f t="shared" si="37"/>
        <v>0</v>
      </c>
      <c r="Z98" s="366">
        <f t="shared" si="41"/>
        <v>0</v>
      </c>
      <c r="AA98" s="366">
        <f t="shared" si="42"/>
        <v>0</v>
      </c>
      <c r="AB98" s="367">
        <f t="shared" si="43"/>
        <v>0</v>
      </c>
    </row>
    <row r="99" spans="1:28" ht="13.5" hidden="1" customHeight="1">
      <c r="A99" s="1059"/>
      <c r="B99" s="440"/>
      <c r="C99" s="353"/>
      <c r="D99" s="353"/>
      <c r="E99" s="368" t="s">
        <v>54</v>
      </c>
      <c r="F99" s="363"/>
      <c r="G99" s="363"/>
      <c r="H99" s="363"/>
      <c r="I99" s="363"/>
      <c r="J99" s="363"/>
      <c r="K99" s="363"/>
      <c r="L99" s="363"/>
      <c r="M99" s="363"/>
      <c r="N99" s="363"/>
      <c r="O99" s="363"/>
      <c r="P99" s="363"/>
      <c r="Q99" s="363"/>
      <c r="R99" s="363"/>
      <c r="S99" s="363"/>
      <c r="T99" s="410">
        <f t="shared" si="39"/>
        <v>0</v>
      </c>
      <c r="U99" s="437"/>
      <c r="V99" s="365">
        <f t="shared" si="40"/>
        <v>0</v>
      </c>
      <c r="W99" s="365">
        <f t="shared" si="35"/>
        <v>0</v>
      </c>
      <c r="X99" s="366">
        <f t="shared" si="36"/>
        <v>0</v>
      </c>
      <c r="Y99" s="366">
        <f t="shared" si="37"/>
        <v>0</v>
      </c>
      <c r="Z99" s="366">
        <f t="shared" si="41"/>
        <v>0</v>
      </c>
      <c r="AA99" s="366">
        <f t="shared" si="42"/>
        <v>0</v>
      </c>
      <c r="AB99" s="367">
        <f t="shared" si="43"/>
        <v>0</v>
      </c>
    </row>
    <row r="100" spans="1:28" ht="13.5" hidden="1" customHeight="1">
      <c r="A100" s="1059"/>
      <c r="B100" s="440"/>
      <c r="C100" s="353"/>
      <c r="D100" s="353"/>
      <c r="E100" s="368" t="s">
        <v>55</v>
      </c>
      <c r="F100" s="363"/>
      <c r="G100" s="363"/>
      <c r="H100" s="363"/>
      <c r="I100" s="363"/>
      <c r="J100" s="363"/>
      <c r="K100" s="363"/>
      <c r="L100" s="363"/>
      <c r="M100" s="363"/>
      <c r="N100" s="363"/>
      <c r="O100" s="363"/>
      <c r="P100" s="363"/>
      <c r="Q100" s="363"/>
      <c r="R100" s="363"/>
      <c r="S100" s="363"/>
      <c r="T100" s="410">
        <f t="shared" si="39"/>
        <v>0</v>
      </c>
      <c r="U100" s="437"/>
      <c r="V100" s="365">
        <f t="shared" si="40"/>
        <v>0</v>
      </c>
      <c r="W100" s="365">
        <f t="shared" si="35"/>
        <v>0</v>
      </c>
      <c r="X100" s="366">
        <f t="shared" si="36"/>
        <v>0</v>
      </c>
      <c r="Y100" s="366">
        <f t="shared" si="37"/>
        <v>0</v>
      </c>
      <c r="Z100" s="366">
        <f t="shared" si="41"/>
        <v>0</v>
      </c>
      <c r="AA100" s="366">
        <f t="shared" si="42"/>
        <v>0</v>
      </c>
      <c r="AB100" s="367">
        <f t="shared" si="43"/>
        <v>0</v>
      </c>
    </row>
    <row r="101" spans="1:28" ht="13.5" hidden="1" customHeight="1">
      <c r="A101" s="1060"/>
      <c r="B101" s="438"/>
      <c r="C101" s="411"/>
      <c r="D101" s="411"/>
      <c r="E101" s="412" t="s">
        <v>179</v>
      </c>
      <c r="F101" s="363"/>
      <c r="G101" s="413"/>
      <c r="H101" s="413"/>
      <c r="I101" s="413"/>
      <c r="J101" s="413"/>
      <c r="K101" s="413"/>
      <c r="L101" s="363"/>
      <c r="M101" s="413"/>
      <c r="N101" s="413"/>
      <c r="O101" s="413"/>
      <c r="P101" s="413"/>
      <c r="Q101" s="413"/>
      <c r="R101" s="413"/>
      <c r="S101" s="413"/>
      <c r="T101" s="410">
        <f t="shared" si="39"/>
        <v>0</v>
      </c>
      <c r="U101" s="432"/>
      <c r="V101" s="417">
        <f t="shared" si="40"/>
        <v>0</v>
      </c>
      <c r="W101" s="365">
        <f t="shared" si="35"/>
        <v>0</v>
      </c>
      <c r="X101" s="366">
        <f t="shared" si="36"/>
        <v>0</v>
      </c>
      <c r="Y101" s="366">
        <f t="shared" si="37"/>
        <v>0</v>
      </c>
      <c r="Z101" s="418">
        <f t="shared" si="41"/>
        <v>0</v>
      </c>
      <c r="AA101" s="418">
        <f t="shared" si="42"/>
        <v>0</v>
      </c>
      <c r="AB101" s="419">
        <f t="shared" si="43"/>
        <v>0</v>
      </c>
    </row>
    <row r="102" spans="1:28" ht="18" hidden="1" customHeight="1">
      <c r="A102" s="1058">
        <v>2</v>
      </c>
      <c r="B102" s="438" t="s">
        <v>303</v>
      </c>
      <c r="C102" s="411">
        <v>1</v>
      </c>
      <c r="D102" s="411">
        <v>1</v>
      </c>
      <c r="E102" s="430" t="s">
        <v>164</v>
      </c>
      <c r="F102" s="414">
        <f t="shared" ref="F102:O102" si="44">SUM(F103:F114)</f>
        <v>0</v>
      </c>
      <c r="G102" s="414">
        <f t="shared" si="44"/>
        <v>0</v>
      </c>
      <c r="H102" s="414">
        <f t="shared" si="44"/>
        <v>0</v>
      </c>
      <c r="I102" s="414">
        <f t="shared" si="44"/>
        <v>0</v>
      </c>
      <c r="J102" s="414">
        <f t="shared" si="44"/>
        <v>0</v>
      </c>
      <c r="K102" s="414">
        <f t="shared" si="44"/>
        <v>0</v>
      </c>
      <c r="L102" s="414">
        <f t="shared" si="44"/>
        <v>0</v>
      </c>
      <c r="M102" s="414">
        <f t="shared" si="44"/>
        <v>0</v>
      </c>
      <c r="N102" s="414">
        <f t="shared" si="44"/>
        <v>0</v>
      </c>
      <c r="O102" s="414">
        <f t="shared" si="44"/>
        <v>0</v>
      </c>
      <c r="P102" s="414"/>
      <c r="Q102" s="414">
        <f>SUM(Q103:Q114)</f>
        <v>0</v>
      </c>
      <c r="R102" s="414">
        <f>SUM(R103:R114)</f>
        <v>0</v>
      </c>
      <c r="S102" s="414">
        <f>SUM(S103:S114)</f>
        <v>0</v>
      </c>
      <c r="T102" s="431">
        <f>SUM(T103:T114)</f>
        <v>0</v>
      </c>
      <c r="U102" s="432"/>
      <c r="V102" s="358">
        <f>SUM(V103:V114)</f>
        <v>0</v>
      </c>
      <c r="W102" s="365">
        <f t="shared" si="35"/>
        <v>0</v>
      </c>
      <c r="X102" s="366">
        <f t="shared" si="36"/>
        <v>0</v>
      </c>
      <c r="Y102" s="366">
        <f t="shared" si="37"/>
        <v>0</v>
      </c>
      <c r="Z102" s="404">
        <f>SUM(Z103:Z114)</f>
        <v>0</v>
      </c>
      <c r="AA102" s="404">
        <f>SUM(AA103:AA114)</f>
        <v>0</v>
      </c>
      <c r="AB102" s="359">
        <f>SUM(AB103:AB114)</f>
        <v>0</v>
      </c>
    </row>
    <row r="103" spans="1:28" ht="13.5" hidden="1" customHeight="1">
      <c r="A103" s="1059"/>
      <c r="B103" s="439" t="s">
        <v>70</v>
      </c>
      <c r="C103" s="402"/>
      <c r="D103" s="402"/>
      <c r="E103" s="433" t="s">
        <v>94</v>
      </c>
      <c r="F103" s="434"/>
      <c r="G103" s="435"/>
      <c r="H103" s="434"/>
      <c r="I103" s="434"/>
      <c r="J103" s="435"/>
      <c r="K103" s="435"/>
      <c r="L103" s="435"/>
      <c r="M103" s="435"/>
      <c r="N103" s="435"/>
      <c r="O103" s="435"/>
      <c r="P103" s="435"/>
      <c r="Q103" s="435"/>
      <c r="R103" s="435"/>
      <c r="S103" s="435"/>
      <c r="T103" s="410"/>
      <c r="U103" s="436"/>
      <c r="V103" s="365"/>
      <c r="W103" s="365">
        <f t="shared" si="35"/>
        <v>0</v>
      </c>
      <c r="X103" s="366">
        <f t="shared" si="36"/>
        <v>0</v>
      </c>
      <c r="Y103" s="366">
        <f t="shared" si="37"/>
        <v>0</v>
      </c>
      <c r="Z103" s="366"/>
      <c r="AA103" s="366"/>
      <c r="AB103" s="367"/>
    </row>
    <row r="104" spans="1:28" ht="13.5" hidden="1" customHeight="1">
      <c r="A104" s="1059"/>
      <c r="B104" s="440"/>
      <c r="C104" s="353"/>
      <c r="D104" s="353"/>
      <c r="E104" s="368" t="s">
        <v>150</v>
      </c>
      <c r="F104" s="363"/>
      <c r="G104" s="363"/>
      <c r="H104" s="363"/>
      <c r="I104" s="363"/>
      <c r="J104" s="363"/>
      <c r="K104" s="363"/>
      <c r="L104" s="363"/>
      <c r="M104" s="363"/>
      <c r="N104" s="363"/>
      <c r="O104" s="363"/>
      <c r="P104" s="363"/>
      <c r="Q104" s="363"/>
      <c r="R104" s="363"/>
      <c r="S104" s="363"/>
      <c r="T104" s="410"/>
      <c r="U104" s="437"/>
      <c r="V104" s="365"/>
      <c r="W104" s="365">
        <f t="shared" si="35"/>
        <v>0</v>
      </c>
      <c r="X104" s="366">
        <f t="shared" si="36"/>
        <v>0</v>
      </c>
      <c r="Y104" s="366">
        <f t="shared" si="37"/>
        <v>0</v>
      </c>
      <c r="Z104" s="366"/>
      <c r="AA104" s="366"/>
      <c r="AB104" s="367"/>
    </row>
    <row r="105" spans="1:28" ht="13.5" hidden="1" customHeight="1">
      <c r="A105" s="1059"/>
      <c r="B105" s="440"/>
      <c r="C105" s="353"/>
      <c r="D105" s="353"/>
      <c r="E105" s="368" t="s">
        <v>82</v>
      </c>
      <c r="F105" s="363"/>
      <c r="G105" s="363"/>
      <c r="H105" s="363"/>
      <c r="I105" s="363"/>
      <c r="J105" s="363"/>
      <c r="K105" s="363"/>
      <c r="L105" s="363"/>
      <c r="M105" s="363"/>
      <c r="N105" s="363"/>
      <c r="O105" s="363"/>
      <c r="P105" s="363"/>
      <c r="Q105" s="363"/>
      <c r="R105" s="363"/>
      <c r="S105" s="363"/>
      <c r="T105" s="410"/>
      <c r="U105" s="437"/>
      <c r="V105" s="365"/>
      <c r="W105" s="365">
        <f t="shared" si="35"/>
        <v>0</v>
      </c>
      <c r="X105" s="366">
        <f t="shared" si="36"/>
        <v>0</v>
      </c>
      <c r="Y105" s="366">
        <f t="shared" si="37"/>
        <v>0</v>
      </c>
      <c r="Z105" s="366"/>
      <c r="AA105" s="366"/>
      <c r="AB105" s="367"/>
    </row>
    <row r="106" spans="1:28" ht="13.5" hidden="1" customHeight="1">
      <c r="A106" s="1059"/>
      <c r="B106" s="440"/>
      <c r="C106" s="353"/>
      <c r="D106" s="353"/>
      <c r="E106" s="368" t="s">
        <v>159</v>
      </c>
      <c r="F106" s="363"/>
      <c r="G106" s="363"/>
      <c r="H106" s="363"/>
      <c r="I106" s="363"/>
      <c r="J106" s="363"/>
      <c r="K106" s="363"/>
      <c r="L106" s="363"/>
      <c r="M106" s="363"/>
      <c r="N106" s="363"/>
      <c r="O106" s="363"/>
      <c r="P106" s="363"/>
      <c r="Q106" s="363"/>
      <c r="R106" s="363"/>
      <c r="S106" s="363"/>
      <c r="T106" s="410"/>
      <c r="U106" s="437"/>
      <c r="V106" s="365"/>
      <c r="W106" s="365">
        <f t="shared" si="35"/>
        <v>0</v>
      </c>
      <c r="X106" s="366">
        <f t="shared" si="36"/>
        <v>0</v>
      </c>
      <c r="Y106" s="366">
        <f t="shared" si="37"/>
        <v>0</v>
      </c>
      <c r="Z106" s="366"/>
      <c r="AA106" s="366"/>
      <c r="AB106" s="367"/>
    </row>
    <row r="107" spans="1:28" ht="13.5" hidden="1" customHeight="1">
      <c r="A107" s="1059"/>
      <c r="B107" s="440"/>
      <c r="C107" s="353"/>
      <c r="D107" s="353"/>
      <c r="E107" s="368" t="s">
        <v>61</v>
      </c>
      <c r="F107" s="363"/>
      <c r="G107" s="363"/>
      <c r="H107" s="363"/>
      <c r="I107" s="363"/>
      <c r="J107" s="363"/>
      <c r="K107" s="363"/>
      <c r="L107" s="363"/>
      <c r="M107" s="363"/>
      <c r="N107" s="363"/>
      <c r="O107" s="363"/>
      <c r="P107" s="363"/>
      <c r="Q107" s="363"/>
      <c r="R107" s="363"/>
      <c r="S107" s="363"/>
      <c r="T107" s="410"/>
      <c r="U107" s="437"/>
      <c r="V107" s="365"/>
      <c r="W107" s="365">
        <f t="shared" si="35"/>
        <v>0</v>
      </c>
      <c r="X107" s="366">
        <f t="shared" si="36"/>
        <v>0</v>
      </c>
      <c r="Y107" s="366">
        <f t="shared" si="37"/>
        <v>0</v>
      </c>
      <c r="Z107" s="366"/>
      <c r="AA107" s="366"/>
      <c r="AB107" s="367"/>
    </row>
    <row r="108" spans="1:28" ht="13.5" hidden="1" customHeight="1">
      <c r="A108" s="1059"/>
      <c r="B108" s="440"/>
      <c r="C108" s="353"/>
      <c r="D108" s="353"/>
      <c r="E108" s="368" t="s">
        <v>156</v>
      </c>
      <c r="F108" s="363"/>
      <c r="G108" s="363"/>
      <c r="H108" s="363"/>
      <c r="I108" s="363"/>
      <c r="J108" s="363"/>
      <c r="K108" s="363"/>
      <c r="L108" s="363"/>
      <c r="M108" s="363"/>
      <c r="N108" s="363"/>
      <c r="O108" s="363"/>
      <c r="P108" s="363"/>
      <c r="Q108" s="363"/>
      <c r="R108" s="363"/>
      <c r="S108" s="363"/>
      <c r="T108" s="410">
        <f t="shared" ref="T108:T114" si="45">SUM(S108,P108,O108,M108,L108,F108)</f>
        <v>0</v>
      </c>
      <c r="U108" s="437"/>
      <c r="V108" s="365">
        <f t="shared" ref="V108:V114" si="46">ROUNDUP(T108*1/12,-1)</f>
        <v>0</v>
      </c>
      <c r="W108" s="365">
        <f t="shared" si="35"/>
        <v>0</v>
      </c>
      <c r="X108" s="366">
        <f t="shared" si="36"/>
        <v>0</v>
      </c>
      <c r="Y108" s="366">
        <f t="shared" si="37"/>
        <v>0</v>
      </c>
      <c r="Z108" s="366">
        <f t="shared" ref="Z108:Z114" si="47">ROUND(T108*0.8%,-1)</f>
        <v>0</v>
      </c>
      <c r="AA108" s="366">
        <f t="shared" ref="AA108:AA114" si="48">ROUND(T108*0.785%,-1)</f>
        <v>0</v>
      </c>
      <c r="AB108" s="367">
        <f t="shared" ref="AB108:AB114" si="49">SUM(V108:AA108)</f>
        <v>0</v>
      </c>
    </row>
    <row r="109" spans="1:28" ht="13.5" hidden="1" customHeight="1">
      <c r="A109" s="1059"/>
      <c r="B109" s="440"/>
      <c r="C109" s="353"/>
      <c r="D109" s="353"/>
      <c r="E109" s="368" t="s">
        <v>136</v>
      </c>
      <c r="F109" s="363"/>
      <c r="G109" s="363"/>
      <c r="H109" s="364"/>
      <c r="I109" s="363"/>
      <c r="J109" s="363"/>
      <c r="K109" s="363"/>
      <c r="L109" s="363"/>
      <c r="M109" s="363"/>
      <c r="N109" s="363"/>
      <c r="O109" s="363"/>
      <c r="P109" s="363"/>
      <c r="Q109" s="363"/>
      <c r="R109" s="363"/>
      <c r="S109" s="363"/>
      <c r="T109" s="410">
        <f t="shared" si="45"/>
        <v>0</v>
      </c>
      <c r="U109" s="437"/>
      <c r="V109" s="365">
        <f t="shared" si="46"/>
        <v>0</v>
      </c>
      <c r="W109" s="365">
        <f t="shared" si="35"/>
        <v>0</v>
      </c>
      <c r="X109" s="366">
        <f t="shared" si="36"/>
        <v>0</v>
      </c>
      <c r="Y109" s="366">
        <f t="shared" si="37"/>
        <v>0</v>
      </c>
      <c r="Z109" s="366">
        <f t="shared" si="47"/>
        <v>0</v>
      </c>
      <c r="AA109" s="366">
        <f t="shared" si="48"/>
        <v>0</v>
      </c>
      <c r="AB109" s="367">
        <f t="shared" si="49"/>
        <v>0</v>
      </c>
    </row>
    <row r="110" spans="1:28" ht="13.5" hidden="1" customHeight="1">
      <c r="A110" s="1059"/>
      <c r="B110" s="440"/>
      <c r="C110" s="353"/>
      <c r="D110" s="353"/>
      <c r="E110" s="368" t="s">
        <v>84</v>
      </c>
      <c r="F110" s="363"/>
      <c r="G110" s="363"/>
      <c r="H110" s="363"/>
      <c r="I110" s="363"/>
      <c r="J110" s="363"/>
      <c r="K110" s="363"/>
      <c r="L110" s="363"/>
      <c r="M110" s="363"/>
      <c r="N110" s="363"/>
      <c r="O110" s="363"/>
      <c r="P110" s="363"/>
      <c r="Q110" s="363"/>
      <c r="R110" s="363"/>
      <c r="S110" s="363"/>
      <c r="T110" s="410">
        <f t="shared" si="45"/>
        <v>0</v>
      </c>
      <c r="U110" s="437"/>
      <c r="V110" s="365">
        <f t="shared" si="46"/>
        <v>0</v>
      </c>
      <c r="W110" s="365">
        <f t="shared" si="35"/>
        <v>0</v>
      </c>
      <c r="X110" s="366">
        <f t="shared" si="36"/>
        <v>0</v>
      </c>
      <c r="Y110" s="366">
        <f t="shared" si="37"/>
        <v>0</v>
      </c>
      <c r="Z110" s="366">
        <f t="shared" si="47"/>
        <v>0</v>
      </c>
      <c r="AA110" s="366">
        <f t="shared" si="48"/>
        <v>0</v>
      </c>
      <c r="AB110" s="367">
        <f t="shared" si="49"/>
        <v>0</v>
      </c>
    </row>
    <row r="111" spans="1:28" ht="13.5" hidden="1" customHeight="1">
      <c r="A111" s="1059"/>
      <c r="B111" s="440"/>
      <c r="C111" s="353"/>
      <c r="D111" s="353"/>
      <c r="E111" s="368" t="s">
        <v>67</v>
      </c>
      <c r="F111" s="363"/>
      <c r="G111" s="363"/>
      <c r="H111" s="363"/>
      <c r="I111" s="363"/>
      <c r="J111" s="363"/>
      <c r="K111" s="363"/>
      <c r="L111" s="363"/>
      <c r="M111" s="363"/>
      <c r="N111" s="363"/>
      <c r="O111" s="363"/>
      <c r="P111" s="363"/>
      <c r="Q111" s="363"/>
      <c r="R111" s="363"/>
      <c r="S111" s="363"/>
      <c r="T111" s="410">
        <f t="shared" si="45"/>
        <v>0</v>
      </c>
      <c r="U111" s="437"/>
      <c r="V111" s="365">
        <f t="shared" si="46"/>
        <v>0</v>
      </c>
      <c r="W111" s="365">
        <f t="shared" si="35"/>
        <v>0</v>
      </c>
      <c r="X111" s="366">
        <f t="shared" si="36"/>
        <v>0</v>
      </c>
      <c r="Y111" s="366">
        <f t="shared" si="37"/>
        <v>0</v>
      </c>
      <c r="Z111" s="366">
        <f t="shared" si="47"/>
        <v>0</v>
      </c>
      <c r="AA111" s="366">
        <f t="shared" si="48"/>
        <v>0</v>
      </c>
      <c r="AB111" s="367">
        <f t="shared" si="49"/>
        <v>0</v>
      </c>
    </row>
    <row r="112" spans="1:28" ht="13.5" hidden="1" customHeight="1">
      <c r="A112" s="1059"/>
      <c r="B112" s="440"/>
      <c r="C112" s="353"/>
      <c r="D112" s="353"/>
      <c r="E112" s="368" t="s">
        <v>54</v>
      </c>
      <c r="F112" s="363"/>
      <c r="G112" s="363"/>
      <c r="H112" s="363"/>
      <c r="I112" s="363"/>
      <c r="J112" s="363"/>
      <c r="K112" s="363"/>
      <c r="L112" s="363"/>
      <c r="M112" s="363"/>
      <c r="N112" s="363"/>
      <c r="O112" s="363"/>
      <c r="P112" s="363"/>
      <c r="Q112" s="363"/>
      <c r="R112" s="363"/>
      <c r="S112" s="363"/>
      <c r="T112" s="410">
        <f t="shared" si="45"/>
        <v>0</v>
      </c>
      <c r="U112" s="437"/>
      <c r="V112" s="365">
        <f t="shared" si="46"/>
        <v>0</v>
      </c>
      <c r="W112" s="365">
        <f t="shared" si="35"/>
        <v>0</v>
      </c>
      <c r="X112" s="366">
        <f t="shared" si="36"/>
        <v>0</v>
      </c>
      <c r="Y112" s="366">
        <f t="shared" si="37"/>
        <v>0</v>
      </c>
      <c r="Z112" s="366">
        <f t="shared" si="47"/>
        <v>0</v>
      </c>
      <c r="AA112" s="366">
        <f t="shared" si="48"/>
        <v>0</v>
      </c>
      <c r="AB112" s="367">
        <f t="shared" si="49"/>
        <v>0</v>
      </c>
    </row>
    <row r="113" spans="1:28" ht="13.5" hidden="1" customHeight="1">
      <c r="A113" s="1059"/>
      <c r="B113" s="440"/>
      <c r="C113" s="353"/>
      <c r="D113" s="353"/>
      <c r="E113" s="368" t="s">
        <v>55</v>
      </c>
      <c r="F113" s="363"/>
      <c r="G113" s="363"/>
      <c r="H113" s="363"/>
      <c r="I113" s="363"/>
      <c r="J113" s="363"/>
      <c r="K113" s="363"/>
      <c r="L113" s="363"/>
      <c r="M113" s="363"/>
      <c r="N113" s="363"/>
      <c r="O113" s="363"/>
      <c r="P113" s="363"/>
      <c r="Q113" s="363"/>
      <c r="R113" s="363"/>
      <c r="S113" s="363"/>
      <c r="T113" s="410">
        <f t="shared" si="45"/>
        <v>0</v>
      </c>
      <c r="U113" s="437"/>
      <c r="V113" s="365">
        <f t="shared" si="46"/>
        <v>0</v>
      </c>
      <c r="W113" s="365">
        <f t="shared" si="35"/>
        <v>0</v>
      </c>
      <c r="X113" s="366">
        <f t="shared" si="36"/>
        <v>0</v>
      </c>
      <c r="Y113" s="366">
        <f t="shared" si="37"/>
        <v>0</v>
      </c>
      <c r="Z113" s="366">
        <f t="shared" si="47"/>
        <v>0</v>
      </c>
      <c r="AA113" s="366">
        <f t="shared" si="48"/>
        <v>0</v>
      </c>
      <c r="AB113" s="367">
        <f t="shared" si="49"/>
        <v>0</v>
      </c>
    </row>
    <row r="114" spans="1:28" ht="13.5" hidden="1" customHeight="1">
      <c r="A114" s="1060"/>
      <c r="B114" s="438"/>
      <c r="C114" s="411"/>
      <c r="D114" s="411"/>
      <c r="E114" s="412" t="s">
        <v>179</v>
      </c>
      <c r="F114" s="363"/>
      <c r="G114" s="413"/>
      <c r="H114" s="413"/>
      <c r="I114" s="413"/>
      <c r="J114" s="413"/>
      <c r="K114" s="413"/>
      <c r="L114" s="363"/>
      <c r="M114" s="413"/>
      <c r="N114" s="413"/>
      <c r="O114" s="413"/>
      <c r="P114" s="413"/>
      <c r="Q114" s="413"/>
      <c r="R114" s="413"/>
      <c r="S114" s="413"/>
      <c r="T114" s="410">
        <f t="shared" si="45"/>
        <v>0</v>
      </c>
      <c r="U114" s="432"/>
      <c r="V114" s="417">
        <f t="shared" si="46"/>
        <v>0</v>
      </c>
      <c r="W114" s="365">
        <f t="shared" si="35"/>
        <v>0</v>
      </c>
      <c r="X114" s="366">
        <f t="shared" si="36"/>
        <v>0</v>
      </c>
      <c r="Y114" s="366">
        <f t="shared" si="37"/>
        <v>0</v>
      </c>
      <c r="Z114" s="418">
        <f t="shared" si="47"/>
        <v>0</v>
      </c>
      <c r="AA114" s="418">
        <f t="shared" si="48"/>
        <v>0</v>
      </c>
      <c r="AB114" s="419">
        <f t="shared" si="49"/>
        <v>0</v>
      </c>
    </row>
    <row r="115" spans="1:28" ht="13.5" hidden="1" customHeight="1">
      <c r="A115" s="1051"/>
      <c r="B115" s="439"/>
      <c r="C115" s="402"/>
      <c r="D115" s="402"/>
      <c r="E115" s="433"/>
      <c r="F115" s="434"/>
      <c r="G115" s="435"/>
      <c r="H115" s="434"/>
      <c r="I115" s="434"/>
      <c r="J115" s="435"/>
      <c r="K115" s="435"/>
      <c r="L115" s="435"/>
      <c r="M115" s="435"/>
      <c r="N115" s="435"/>
      <c r="O115" s="435"/>
      <c r="P115" s="435"/>
      <c r="Q115" s="435"/>
      <c r="R115" s="435"/>
      <c r="S115" s="435"/>
      <c r="T115" s="410"/>
      <c r="U115" s="436"/>
      <c r="V115" s="365"/>
      <c r="W115" s="365">
        <f t="shared" si="35"/>
        <v>0</v>
      </c>
      <c r="X115" s="366">
        <f t="shared" si="36"/>
        <v>0</v>
      </c>
      <c r="Y115" s="366">
        <f t="shared" si="37"/>
        <v>0</v>
      </c>
      <c r="Z115" s="366"/>
      <c r="AA115" s="366"/>
      <c r="AB115" s="367"/>
    </row>
    <row r="116" spans="1:28" ht="13.5" hidden="1" customHeight="1">
      <c r="A116" s="1052"/>
      <c r="B116" s="440"/>
      <c r="C116" s="353"/>
      <c r="D116" s="353"/>
      <c r="E116" s="368"/>
      <c r="F116" s="363"/>
      <c r="G116" s="363"/>
      <c r="H116" s="363"/>
      <c r="I116" s="363"/>
      <c r="J116" s="363"/>
      <c r="K116" s="363"/>
      <c r="L116" s="363"/>
      <c r="M116" s="363"/>
      <c r="N116" s="363"/>
      <c r="O116" s="363"/>
      <c r="P116" s="363"/>
      <c r="Q116" s="363"/>
      <c r="R116" s="363"/>
      <c r="S116" s="363"/>
      <c r="T116" s="410"/>
      <c r="U116" s="437"/>
      <c r="V116" s="365"/>
      <c r="W116" s="365">
        <f t="shared" si="35"/>
        <v>0</v>
      </c>
      <c r="X116" s="366">
        <f t="shared" si="36"/>
        <v>0</v>
      </c>
      <c r="Y116" s="366">
        <f t="shared" si="37"/>
        <v>0</v>
      </c>
      <c r="Z116" s="366"/>
      <c r="AA116" s="366"/>
      <c r="AB116" s="367"/>
    </row>
    <row r="117" spans="1:28" ht="13.5" hidden="1" customHeight="1">
      <c r="A117" s="1052"/>
      <c r="B117" s="440"/>
      <c r="C117" s="353"/>
      <c r="D117" s="353"/>
      <c r="E117" s="368"/>
      <c r="F117" s="363"/>
      <c r="G117" s="363"/>
      <c r="H117" s="363"/>
      <c r="I117" s="363"/>
      <c r="J117" s="363"/>
      <c r="K117" s="363"/>
      <c r="L117" s="363"/>
      <c r="M117" s="363"/>
      <c r="N117" s="363"/>
      <c r="O117" s="363"/>
      <c r="P117" s="363"/>
      <c r="Q117" s="363"/>
      <c r="R117" s="363"/>
      <c r="S117" s="363"/>
      <c r="T117" s="410"/>
      <c r="U117" s="437"/>
      <c r="V117" s="365"/>
      <c r="W117" s="365">
        <f t="shared" si="35"/>
        <v>0</v>
      </c>
      <c r="X117" s="366">
        <f t="shared" si="36"/>
        <v>0</v>
      </c>
      <c r="Y117" s="366">
        <f t="shared" si="37"/>
        <v>0</v>
      </c>
      <c r="Z117" s="366"/>
      <c r="AA117" s="366"/>
      <c r="AB117" s="367"/>
    </row>
    <row r="118" spans="1:28" ht="13.5" hidden="1" customHeight="1">
      <c r="A118" s="1052"/>
      <c r="B118" s="440"/>
      <c r="C118" s="353"/>
      <c r="D118" s="353"/>
      <c r="E118" s="368"/>
      <c r="F118" s="363"/>
      <c r="G118" s="363"/>
      <c r="H118" s="363"/>
      <c r="I118" s="363"/>
      <c r="J118" s="363"/>
      <c r="K118" s="363"/>
      <c r="L118" s="363"/>
      <c r="M118" s="363"/>
      <c r="N118" s="363"/>
      <c r="O118" s="363"/>
      <c r="P118" s="363"/>
      <c r="Q118" s="363"/>
      <c r="R118" s="363"/>
      <c r="S118" s="363"/>
      <c r="T118" s="410"/>
      <c r="U118" s="437"/>
      <c r="V118" s="365"/>
      <c r="W118" s="365">
        <f t="shared" si="35"/>
        <v>0</v>
      </c>
      <c r="X118" s="366">
        <f t="shared" si="36"/>
        <v>0</v>
      </c>
      <c r="Y118" s="366">
        <f t="shared" si="37"/>
        <v>0</v>
      </c>
      <c r="Z118" s="366"/>
      <c r="AA118" s="366"/>
      <c r="AB118" s="367"/>
    </row>
    <row r="119" spans="1:28" ht="13.5" hidden="1" customHeight="1">
      <c r="A119" s="1052"/>
      <c r="B119" s="440"/>
      <c r="C119" s="353"/>
      <c r="D119" s="353"/>
      <c r="E119" s="368"/>
      <c r="F119" s="363"/>
      <c r="G119" s="363"/>
      <c r="H119" s="363"/>
      <c r="I119" s="363"/>
      <c r="J119" s="363"/>
      <c r="K119" s="363"/>
      <c r="L119" s="363"/>
      <c r="M119" s="363"/>
      <c r="N119" s="363"/>
      <c r="O119" s="363"/>
      <c r="P119" s="363"/>
      <c r="Q119" s="363"/>
      <c r="R119" s="363"/>
      <c r="S119" s="363"/>
      <c r="T119" s="410"/>
      <c r="U119" s="437"/>
      <c r="V119" s="365"/>
      <c r="W119" s="365">
        <f t="shared" si="35"/>
        <v>0</v>
      </c>
      <c r="X119" s="366">
        <f t="shared" si="36"/>
        <v>0</v>
      </c>
      <c r="Y119" s="366">
        <f t="shared" si="37"/>
        <v>0</v>
      </c>
      <c r="Z119" s="366"/>
      <c r="AA119" s="366"/>
      <c r="AB119" s="367"/>
    </row>
    <row r="120" spans="1:28" ht="13.5" hidden="1" customHeight="1">
      <c r="A120" s="1052"/>
      <c r="B120" s="440"/>
      <c r="C120" s="353"/>
      <c r="D120" s="353"/>
      <c r="E120" s="368"/>
      <c r="F120" s="363"/>
      <c r="G120" s="363"/>
      <c r="H120" s="363"/>
      <c r="I120" s="363"/>
      <c r="J120" s="363"/>
      <c r="K120" s="363"/>
      <c r="L120" s="363"/>
      <c r="M120" s="363"/>
      <c r="N120" s="363"/>
      <c r="O120" s="363"/>
      <c r="P120" s="363"/>
      <c r="Q120" s="363"/>
      <c r="R120" s="363"/>
      <c r="S120" s="363"/>
      <c r="T120" s="410"/>
      <c r="U120" s="437"/>
      <c r="V120" s="365"/>
      <c r="W120" s="365">
        <f t="shared" si="35"/>
        <v>0</v>
      </c>
      <c r="X120" s="366">
        <f t="shared" si="36"/>
        <v>0</v>
      </c>
      <c r="Y120" s="366">
        <f t="shared" si="37"/>
        <v>0</v>
      </c>
      <c r="Z120" s="366"/>
      <c r="AA120" s="366"/>
      <c r="AB120" s="367"/>
    </row>
    <row r="121" spans="1:28" ht="13.5" hidden="1" customHeight="1">
      <c r="A121" s="1052"/>
      <c r="B121" s="440"/>
      <c r="C121" s="353"/>
      <c r="D121" s="353"/>
      <c r="E121" s="368"/>
      <c r="F121" s="363"/>
      <c r="G121" s="363"/>
      <c r="H121" s="364"/>
      <c r="I121" s="363"/>
      <c r="J121" s="363"/>
      <c r="K121" s="363"/>
      <c r="L121" s="363"/>
      <c r="M121" s="363"/>
      <c r="N121" s="363"/>
      <c r="O121" s="363"/>
      <c r="P121" s="363"/>
      <c r="Q121" s="363"/>
      <c r="R121" s="363"/>
      <c r="S121" s="363"/>
      <c r="T121" s="410"/>
      <c r="U121" s="437"/>
      <c r="V121" s="365"/>
      <c r="W121" s="365">
        <f t="shared" si="35"/>
        <v>0</v>
      </c>
      <c r="X121" s="366">
        <f t="shared" si="36"/>
        <v>0</v>
      </c>
      <c r="Y121" s="366">
        <f t="shared" si="37"/>
        <v>0</v>
      </c>
      <c r="Z121" s="366"/>
      <c r="AA121" s="366"/>
      <c r="AB121" s="367"/>
    </row>
    <row r="122" spans="1:28" ht="13.5" hidden="1" customHeight="1">
      <c r="A122" s="1052"/>
      <c r="B122" s="440"/>
      <c r="C122" s="353"/>
      <c r="D122" s="353"/>
      <c r="E122" s="368"/>
      <c r="F122" s="363"/>
      <c r="G122" s="363"/>
      <c r="H122" s="363"/>
      <c r="I122" s="363"/>
      <c r="J122" s="363"/>
      <c r="K122" s="363"/>
      <c r="L122" s="363"/>
      <c r="M122" s="363"/>
      <c r="N122" s="363"/>
      <c r="O122" s="363"/>
      <c r="P122" s="363"/>
      <c r="Q122" s="363"/>
      <c r="R122" s="363"/>
      <c r="S122" s="363"/>
      <c r="T122" s="410"/>
      <c r="U122" s="437"/>
      <c r="V122" s="365"/>
      <c r="W122" s="365">
        <f t="shared" si="35"/>
        <v>0</v>
      </c>
      <c r="X122" s="366">
        <f t="shared" si="36"/>
        <v>0</v>
      </c>
      <c r="Y122" s="366">
        <f t="shared" si="37"/>
        <v>0</v>
      </c>
      <c r="Z122" s="366"/>
      <c r="AA122" s="366"/>
      <c r="AB122" s="367"/>
    </row>
    <row r="123" spans="1:28" ht="13.5" hidden="1" customHeight="1">
      <c r="A123" s="1052"/>
      <c r="B123" s="440"/>
      <c r="C123" s="353"/>
      <c r="D123" s="353"/>
      <c r="E123" s="368"/>
      <c r="F123" s="363"/>
      <c r="G123" s="363"/>
      <c r="H123" s="363"/>
      <c r="I123" s="363"/>
      <c r="J123" s="363"/>
      <c r="K123" s="363"/>
      <c r="L123" s="363"/>
      <c r="M123" s="363"/>
      <c r="N123" s="363"/>
      <c r="O123" s="363"/>
      <c r="P123" s="363"/>
      <c r="Q123" s="363"/>
      <c r="R123" s="363"/>
      <c r="S123" s="363"/>
      <c r="T123" s="410"/>
      <c r="U123" s="437"/>
      <c r="V123" s="365"/>
      <c r="W123" s="365">
        <f t="shared" si="35"/>
        <v>0</v>
      </c>
      <c r="X123" s="366">
        <f t="shared" si="36"/>
        <v>0</v>
      </c>
      <c r="Y123" s="366">
        <f t="shared" si="37"/>
        <v>0</v>
      </c>
      <c r="Z123" s="366"/>
      <c r="AA123" s="366"/>
      <c r="AB123" s="367"/>
    </row>
    <row r="124" spans="1:28" ht="13.5" hidden="1" customHeight="1">
      <c r="A124" s="1052"/>
      <c r="B124" s="440"/>
      <c r="C124" s="353"/>
      <c r="D124" s="353"/>
      <c r="E124" s="368"/>
      <c r="F124" s="363"/>
      <c r="G124" s="363"/>
      <c r="H124" s="363"/>
      <c r="I124" s="363"/>
      <c r="J124" s="363"/>
      <c r="K124" s="363"/>
      <c r="L124" s="363"/>
      <c r="M124" s="363"/>
      <c r="N124" s="363"/>
      <c r="O124" s="363"/>
      <c r="P124" s="363"/>
      <c r="Q124" s="363"/>
      <c r="R124" s="363"/>
      <c r="S124" s="363"/>
      <c r="T124" s="410"/>
      <c r="U124" s="437"/>
      <c r="V124" s="365"/>
      <c r="W124" s="365">
        <f t="shared" si="35"/>
        <v>0</v>
      </c>
      <c r="X124" s="366">
        <f t="shared" si="36"/>
        <v>0</v>
      </c>
      <c r="Y124" s="366">
        <f t="shared" si="37"/>
        <v>0</v>
      </c>
      <c r="Z124" s="366"/>
      <c r="AA124" s="366"/>
      <c r="AB124" s="367"/>
    </row>
    <row r="125" spans="1:28" ht="13.5" hidden="1" customHeight="1">
      <c r="A125" s="1052"/>
      <c r="B125" s="440"/>
      <c r="C125" s="353"/>
      <c r="D125" s="353"/>
      <c r="E125" s="368"/>
      <c r="F125" s="363"/>
      <c r="G125" s="363"/>
      <c r="H125" s="363"/>
      <c r="I125" s="363"/>
      <c r="J125" s="363"/>
      <c r="K125" s="363"/>
      <c r="L125" s="363"/>
      <c r="M125" s="363"/>
      <c r="N125" s="363"/>
      <c r="O125" s="363"/>
      <c r="P125" s="363"/>
      <c r="Q125" s="363"/>
      <c r="R125" s="363"/>
      <c r="S125" s="363"/>
      <c r="T125" s="410"/>
      <c r="U125" s="437"/>
      <c r="V125" s="365"/>
      <c r="W125" s="365">
        <f t="shared" si="35"/>
        <v>0</v>
      </c>
      <c r="X125" s="366">
        <f t="shared" si="36"/>
        <v>0</v>
      </c>
      <c r="Y125" s="366">
        <f t="shared" si="37"/>
        <v>0</v>
      </c>
      <c r="Z125" s="366"/>
      <c r="AA125" s="366"/>
      <c r="AB125" s="367"/>
    </row>
    <row r="126" spans="1:28" ht="14.25" hidden="1" customHeight="1">
      <c r="A126" s="1053"/>
      <c r="B126" s="441"/>
      <c r="C126" s="393"/>
      <c r="D126" s="393"/>
      <c r="E126" s="394"/>
      <c r="F126" s="395"/>
      <c r="G126" s="395"/>
      <c r="H126" s="395"/>
      <c r="I126" s="395"/>
      <c r="J126" s="395"/>
      <c r="K126" s="395"/>
      <c r="L126" s="395"/>
      <c r="M126" s="395"/>
      <c r="N126" s="395"/>
      <c r="O126" s="395"/>
      <c r="P126" s="395"/>
      <c r="Q126" s="395"/>
      <c r="R126" s="395"/>
      <c r="S126" s="395"/>
      <c r="T126" s="442"/>
      <c r="U126" s="443"/>
      <c r="V126" s="417"/>
      <c r="W126" s="365">
        <f t="shared" si="35"/>
        <v>0</v>
      </c>
      <c r="X126" s="366">
        <f t="shared" si="36"/>
        <v>0</v>
      </c>
      <c r="Y126" s="366">
        <f t="shared" si="37"/>
        <v>0</v>
      </c>
      <c r="Z126" s="418"/>
      <c r="AA126" s="418"/>
      <c r="AB126" s="419"/>
    </row>
  </sheetData>
  <mergeCells count="13">
    <mergeCell ref="A115:A126"/>
    <mergeCell ref="A49:E49"/>
    <mergeCell ref="A50:A62"/>
    <mergeCell ref="A63:A75"/>
    <mergeCell ref="A76:A88"/>
    <mergeCell ref="A89:A101"/>
    <mergeCell ref="A102:A114"/>
    <mergeCell ref="A47:E47"/>
    <mergeCell ref="A3:E3"/>
    <mergeCell ref="A5:E5"/>
    <mergeCell ref="A6:A18"/>
    <mergeCell ref="A19:A31"/>
    <mergeCell ref="A32:A44"/>
  </mergeCells>
  <phoneticPr fontId="65" type="noConversion"/>
  <pageMargins left="0.40000000596046448" right="0.15986111760139465" top="0.98416668176651001" bottom="0.98416668176651001" header="0.51152777671813965" footer="0.51152777671813965"/>
  <pageSetup paperSize="9" scale="69" orientation="landscape" horizontalDpi="4294967293" verticalDpi="4294967293" r:id="rId1"/>
</worksheet>
</file>

<file path=xl/worksheets/sheet1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15">
    <pageSetUpPr fitToPage="1"/>
  </sheetPr>
  <dimension ref="A1:O20"/>
  <sheetViews>
    <sheetView zoomScaleNormal="100" zoomScaleSheetLayoutView="75" workbookViewId="0">
      <selection activeCell="A9" sqref="A9:K9"/>
    </sheetView>
  </sheetViews>
  <sheetFormatPr defaultColWidth="8.75" defaultRowHeight="13.5"/>
  <cols>
    <col min="7" max="7" width="10.125" customWidth="1"/>
    <col min="12" max="12" width="9.875" customWidth="1"/>
    <col min="14" max="14" width="10.625" customWidth="1"/>
    <col min="15" max="15" width="15.25" customWidth="1"/>
  </cols>
  <sheetData>
    <row r="1" spans="1:15" ht="17.25">
      <c r="A1" s="1017" t="s">
        <v>217</v>
      </c>
      <c r="B1" s="1017"/>
      <c r="C1" s="1017"/>
      <c r="D1" s="1017"/>
      <c r="E1" s="1017"/>
      <c r="F1" s="1017"/>
      <c r="G1" s="1017"/>
      <c r="H1" s="1017"/>
      <c r="I1" s="1017"/>
      <c r="J1" s="1017"/>
      <c r="K1" s="1017"/>
      <c r="L1" s="1017"/>
      <c r="M1" s="1017"/>
      <c r="N1" s="1017"/>
      <c r="O1" s="1017"/>
    </row>
    <row r="2" spans="1:15" ht="24.75" customHeight="1">
      <c r="A2" s="47"/>
      <c r="B2" s="48"/>
      <c r="C2" s="48"/>
      <c r="D2" s="48"/>
      <c r="E2" s="48"/>
      <c r="F2" s="48"/>
      <c r="G2" s="48"/>
      <c r="H2" s="48"/>
      <c r="I2" s="48"/>
      <c r="J2" s="48"/>
      <c r="K2" s="48"/>
      <c r="L2" s="48"/>
      <c r="M2" s="48"/>
      <c r="N2" s="48"/>
      <c r="O2" s="48"/>
    </row>
    <row r="3" spans="1:15" ht="20.25" customHeight="1">
      <c r="A3" s="1018" t="s">
        <v>105</v>
      </c>
      <c r="B3" s="1018" t="s">
        <v>140</v>
      </c>
      <c r="C3" s="1018" t="s">
        <v>122</v>
      </c>
      <c r="D3" s="1018" t="s">
        <v>116</v>
      </c>
      <c r="E3" s="1020" t="s">
        <v>113</v>
      </c>
      <c r="F3" s="1022" t="s">
        <v>130</v>
      </c>
      <c r="G3" s="1032"/>
      <c r="H3" s="1032"/>
      <c r="I3" s="1032"/>
      <c r="J3" s="1032"/>
      <c r="K3" s="1023"/>
      <c r="L3" s="1024" t="s">
        <v>44</v>
      </c>
      <c r="M3" s="1024" t="s">
        <v>406</v>
      </c>
      <c r="N3" s="1020" t="s">
        <v>131</v>
      </c>
      <c r="O3" s="1020" t="s">
        <v>112</v>
      </c>
    </row>
    <row r="4" spans="1:15" ht="30" customHeight="1">
      <c r="A4" s="1019"/>
      <c r="B4" s="1019"/>
      <c r="C4" s="1019"/>
      <c r="D4" s="1019"/>
      <c r="E4" s="1021"/>
      <c r="F4" s="32" t="s">
        <v>424</v>
      </c>
      <c r="G4" s="32" t="s">
        <v>424</v>
      </c>
      <c r="H4" s="32" t="s">
        <v>424</v>
      </c>
      <c r="I4" s="32" t="s">
        <v>424</v>
      </c>
      <c r="J4" s="33" t="s">
        <v>424</v>
      </c>
      <c r="K4" s="32" t="s">
        <v>436</v>
      </c>
      <c r="L4" s="1025"/>
      <c r="M4" s="1025"/>
      <c r="N4" s="1021"/>
      <c r="O4" s="1021"/>
    </row>
    <row r="5" spans="1:15" ht="45" customHeight="1">
      <c r="A5" s="34">
        <v>1</v>
      </c>
      <c r="B5" s="54"/>
      <c r="C5" s="54"/>
      <c r="D5" s="35"/>
      <c r="E5" s="36"/>
      <c r="F5" s="36"/>
      <c r="G5" s="37"/>
      <c r="H5" s="38"/>
      <c r="I5" s="38"/>
      <c r="J5" s="38"/>
      <c r="K5" s="38"/>
      <c r="L5" s="38"/>
      <c r="M5" s="38"/>
      <c r="N5" s="39"/>
      <c r="O5" s="54"/>
    </row>
    <row r="6" spans="1:15" ht="45" customHeight="1">
      <c r="A6" s="34">
        <v>2</v>
      </c>
      <c r="B6" s="54"/>
      <c r="C6" s="54"/>
      <c r="D6" s="35"/>
      <c r="E6" s="36"/>
      <c r="F6" s="36"/>
      <c r="G6" s="37"/>
      <c r="H6" s="38"/>
      <c r="I6" s="38"/>
      <c r="J6" s="38"/>
      <c r="K6" s="38"/>
      <c r="L6" s="38"/>
      <c r="M6" s="38"/>
      <c r="N6" s="39"/>
      <c r="O6" s="54"/>
    </row>
    <row r="7" spans="1:15" ht="45" customHeight="1">
      <c r="A7" s="34">
        <v>3</v>
      </c>
      <c r="B7" s="54"/>
      <c r="C7" s="54"/>
      <c r="D7" s="35"/>
      <c r="E7" s="36"/>
      <c r="F7" s="36"/>
      <c r="G7" s="37"/>
      <c r="H7" s="38"/>
      <c r="I7" s="38"/>
      <c r="J7" s="38"/>
      <c r="K7" s="38"/>
      <c r="L7" s="38"/>
      <c r="M7" s="38"/>
      <c r="N7" s="39"/>
      <c r="O7" s="34" t="s">
        <v>230</v>
      </c>
    </row>
    <row r="8" spans="1:15" ht="45" customHeight="1">
      <c r="A8" s="34">
        <v>4</v>
      </c>
      <c r="B8" s="54"/>
      <c r="C8" s="54"/>
      <c r="D8" s="35"/>
      <c r="E8" s="36"/>
      <c r="F8" s="36"/>
      <c r="G8" s="37"/>
      <c r="H8" s="38"/>
      <c r="I8" s="38"/>
      <c r="J8" s="38"/>
      <c r="K8" s="38"/>
      <c r="L8" s="38"/>
      <c r="M8" s="38"/>
      <c r="N8" s="39"/>
      <c r="O8" s="34"/>
    </row>
    <row r="9" spans="1:15" ht="45" customHeight="1">
      <c r="A9" s="34">
        <v>5</v>
      </c>
      <c r="B9" s="54"/>
      <c r="C9" s="54"/>
      <c r="D9" s="40"/>
      <c r="E9" s="36"/>
      <c r="F9" s="36"/>
      <c r="G9" s="37"/>
      <c r="H9" s="38"/>
      <c r="I9" s="38"/>
      <c r="J9" s="38"/>
      <c r="K9" s="38"/>
      <c r="L9" s="38"/>
      <c r="M9" s="38"/>
      <c r="N9" s="39"/>
      <c r="O9" s="34"/>
    </row>
    <row r="10" spans="1:15" ht="45" customHeight="1">
      <c r="A10" s="43">
        <v>6</v>
      </c>
      <c r="B10" s="43"/>
      <c r="C10" s="43"/>
      <c r="D10" s="43"/>
      <c r="E10" s="44"/>
      <c r="F10" s="44"/>
      <c r="G10" s="45"/>
      <c r="H10" s="46"/>
      <c r="I10" s="46"/>
      <c r="J10" s="46"/>
      <c r="K10" s="46"/>
      <c r="L10" s="46"/>
      <c r="M10" s="46"/>
      <c r="N10" s="46"/>
      <c r="O10" s="42" t="s">
        <v>221</v>
      </c>
    </row>
    <row r="11" spans="1:15" ht="45" customHeight="1">
      <c r="A11" s="1027" t="s">
        <v>108</v>
      </c>
      <c r="B11" s="1028"/>
      <c r="C11" s="1028"/>
      <c r="D11" s="1029"/>
      <c r="E11" s="39"/>
      <c r="F11" s="39"/>
      <c r="G11" s="39"/>
      <c r="H11" s="39"/>
      <c r="I11" s="39"/>
      <c r="J11" s="39"/>
      <c r="K11" s="39"/>
      <c r="L11" s="39"/>
      <c r="M11" s="39"/>
      <c r="N11" s="39"/>
      <c r="O11" s="41"/>
    </row>
    <row r="12" spans="1:15" ht="35.1" customHeight="1">
      <c r="A12" s="29"/>
      <c r="B12" s="29"/>
      <c r="C12" s="29"/>
      <c r="D12" s="29"/>
      <c r="E12" s="30"/>
      <c r="F12" s="30"/>
      <c r="G12" s="30"/>
      <c r="H12" s="30"/>
      <c r="I12" s="30"/>
      <c r="J12" s="30"/>
      <c r="K12" s="30"/>
      <c r="L12" s="30"/>
      <c r="M12" s="30"/>
      <c r="N12" s="30"/>
      <c r="O12" s="31"/>
    </row>
    <row r="13" spans="1:15" ht="35.1" customHeight="1">
      <c r="A13" s="1026" t="s">
        <v>183</v>
      </c>
      <c r="B13" s="1026"/>
      <c r="C13" s="1026"/>
      <c r="D13" s="1026"/>
      <c r="E13" s="1026"/>
      <c r="F13" s="1026"/>
      <c r="G13" s="1026"/>
      <c r="H13" s="1026"/>
      <c r="I13" s="1026"/>
      <c r="J13" s="1026"/>
      <c r="K13" s="1026"/>
      <c r="L13" s="1026"/>
      <c r="M13" s="1026"/>
      <c r="N13" s="1026"/>
      <c r="O13" s="31"/>
    </row>
    <row r="14" spans="1:15" ht="35.1" customHeight="1"/>
    <row r="15" spans="1:15" ht="35.1" customHeight="1"/>
    <row r="16" spans="1:15" ht="35.1" customHeight="1"/>
    <row r="17" ht="35.1" customHeight="1"/>
    <row r="18" ht="35.1" customHeight="1"/>
    <row r="19" ht="35.1" customHeight="1"/>
    <row r="20" ht="35.1" customHeight="1"/>
  </sheetData>
  <mergeCells count="13">
    <mergeCell ref="A11:D11"/>
    <mergeCell ref="C3:C4"/>
    <mergeCell ref="A13:N13"/>
    <mergeCell ref="A1:O1"/>
    <mergeCell ref="A3:A4"/>
    <mergeCell ref="B3:B4"/>
    <mergeCell ref="D3:D4"/>
    <mergeCell ref="E3:E4"/>
    <mergeCell ref="F3:K3"/>
    <mergeCell ref="L3:L4"/>
    <mergeCell ref="M3:M4"/>
    <mergeCell ref="N3:N4"/>
    <mergeCell ref="O3:O4"/>
  </mergeCells>
  <phoneticPr fontId="65" type="noConversion"/>
  <pageMargins left="0.7086111307144165" right="0.7086111307144165" top="0.74763888120651245" bottom="0.74763888120651245" header="0.31486111879348755" footer="0.31486111879348755"/>
  <pageSetup paperSize="9" scale="92" fitToHeight="0" orientation="landscape" r:id="rId1"/>
  <colBreaks count="1" manualBreakCount="1">
    <brk id="15" max="16383" man="1"/>
  </colBreaks>
</worksheet>
</file>

<file path=docProps/app.xml><?xml version="1.0" encoding="utf-8"?>
<Properties xmlns="http://schemas.openxmlformats.org/officeDocument/2006/extended-properties" xmlns:vt="http://schemas.openxmlformats.org/officeDocument/2006/docPropsVTypes">
  <TotalTime>299</TotalTime>
  <Application>Microsoft Excel</Application>
  <DocSecurity>0</DocSecurity>
  <ScaleCrop>false</ScaleCrop>
  <HeadingPairs>
    <vt:vector size="4" baseType="variant">
      <vt:variant>
        <vt:lpstr>워크시트</vt:lpstr>
      </vt:variant>
      <vt:variant>
        <vt:i4>15</vt:i4>
      </vt:variant>
      <vt:variant>
        <vt:lpstr>이름이 지정된 범위</vt:lpstr>
      </vt:variant>
      <vt:variant>
        <vt:i4>23</vt:i4>
      </vt:variant>
    </vt:vector>
  </HeadingPairs>
  <TitlesOfParts>
    <vt:vector size="38" baseType="lpstr">
      <vt:lpstr>표지</vt:lpstr>
      <vt:lpstr>가. 예산총칙</vt:lpstr>
      <vt:lpstr>나. 세입세출(총괄)</vt:lpstr>
      <vt:lpstr>다. 세입내역서</vt:lpstr>
      <vt:lpstr>라. 세출내역서</vt:lpstr>
      <vt:lpstr>라-1.보조금세출</vt:lpstr>
      <vt:lpstr>라-2.자부담세출</vt:lpstr>
      <vt:lpstr>라-3.후원금세출</vt:lpstr>
      <vt:lpstr>마. 세입세출(개요)</vt:lpstr>
      <vt:lpstr>바. 증감사유</vt:lpstr>
      <vt:lpstr>사. 임직원보수 일람표</vt:lpstr>
      <vt:lpstr>아. 자부담 계약직 인건비</vt:lpstr>
      <vt:lpstr>인건비총계표(보조금)</vt:lpstr>
      <vt:lpstr>인건비총계표(자부담)</vt:lpstr>
      <vt:lpstr>자. 일용잡급일람표</vt:lpstr>
      <vt:lpstr>'가. 예산총칙'!Print_Area</vt:lpstr>
      <vt:lpstr>'다. 세입내역서'!Print_Area</vt:lpstr>
      <vt:lpstr>'라-1.보조금세출'!Print_Area</vt:lpstr>
      <vt:lpstr>'라-2.자부담세출'!Print_Area</vt:lpstr>
      <vt:lpstr>'라-3.후원금세출'!Print_Area</vt:lpstr>
      <vt:lpstr>'마. 세입세출(개요)'!Print_Area</vt:lpstr>
      <vt:lpstr>'바. 증감사유'!Print_Area</vt:lpstr>
      <vt:lpstr>'사. 임직원보수 일람표'!Print_Area</vt:lpstr>
      <vt:lpstr>'아. 자부담 계약직 인건비'!Print_Area</vt:lpstr>
      <vt:lpstr>'인건비총계표(보조금)'!Print_Area</vt:lpstr>
      <vt:lpstr>'자. 일용잡급일람표'!Print_Area</vt:lpstr>
      <vt:lpstr>표지!Print_Area</vt:lpstr>
      <vt:lpstr>'나. 세입세출(총괄)'!Print_Titles</vt:lpstr>
      <vt:lpstr>'다. 세입내역서'!Print_Titles</vt:lpstr>
      <vt:lpstr>'라. 세출내역서'!Print_Titles</vt:lpstr>
      <vt:lpstr>'라-1.보조금세출'!Print_Titles</vt:lpstr>
      <vt:lpstr>'라-2.자부담세출'!Print_Titles</vt:lpstr>
      <vt:lpstr>'라-3.후원금세출'!Print_Titles</vt:lpstr>
      <vt:lpstr>'바. 증감사유'!Print_Titles</vt:lpstr>
      <vt:lpstr>'사. 임직원보수 일람표'!Print_Titles</vt:lpstr>
      <vt:lpstr>'아. 자부담 계약직 인건비'!Print_Titles</vt:lpstr>
      <vt:lpstr>'인건비총계표(보조금)'!Print_Titles</vt:lpstr>
      <vt:lpstr>'자. 일용잡급일람표'!Print_Titles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경기도곰두리공판장</dc:creator>
  <cp:lastModifiedBy>USER</cp:lastModifiedBy>
  <cp:revision>16</cp:revision>
  <cp:lastPrinted>2024-01-21T03:20:31Z</cp:lastPrinted>
  <dcterms:created xsi:type="dcterms:W3CDTF">2001-04-07T08:29:30Z</dcterms:created>
  <dcterms:modified xsi:type="dcterms:W3CDTF">2024-04-23T01:16:31Z</dcterms:modified>
  <cp:version>1200.0100.01</cp:version>
</cp:coreProperties>
</file>