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dd\"/>
    </mc:Choice>
  </mc:AlternateContent>
  <bookViews>
    <workbookView xWindow="0" yWindow="0" windowWidth="25350" windowHeight="11115" tabRatio="864" firstSheet="1" activeTab="1"/>
  </bookViews>
  <sheets>
    <sheet name="가. 세입세출(총괄)" sheetId="1" r:id="rId1"/>
    <sheet name="나. 세입결산" sheetId="2" r:id="rId2"/>
    <sheet name="다. 세출결산" sheetId="3" r:id="rId3"/>
    <sheet name="라. 세입세출(개요)" sheetId="4" r:id="rId4"/>
    <sheet name="마. 증감사유" sheetId="5" r:id="rId5"/>
    <sheet name="바. 임직원보수 일람표" sheetId="6" r:id="rId6"/>
    <sheet name="사. 일용잡급일람표" sheetId="7" state="hidden" r:id="rId7"/>
    <sheet name="사. 현금 및 예금명세서" sheetId="8" r:id="rId8"/>
    <sheet name="사-1 예금잔액증명서" sheetId="9" r:id="rId9"/>
    <sheet name="아. 퇴직충당금명세서" sheetId="10" r:id="rId10"/>
    <sheet name="아-1퇴직금 불입내역서 및 잔액증명서" sheetId="11" r:id="rId11"/>
    <sheet name="자. 정부보조금명세서" sheetId="12" r:id="rId12"/>
  </sheets>
  <definedNames>
    <definedName name="F" localSheetId="2">#REF!</definedName>
    <definedName name="F" localSheetId="6">#REF!</definedName>
    <definedName name="F" localSheetId="7">#REF!</definedName>
    <definedName name="F" localSheetId="8">#REF!</definedName>
    <definedName name="F" localSheetId="9">#REF!</definedName>
    <definedName name="F" localSheetId="10">#REF!</definedName>
    <definedName name="F" localSheetId="11">#REF!</definedName>
    <definedName name="F">#REF!</definedName>
    <definedName name="_xlnm.Print_Area" localSheetId="0">'가. 세입세출(총괄)'!$A$1:$N$42</definedName>
    <definedName name="_xlnm.Print_Area" localSheetId="1">'나. 세입결산'!$A$1:$J$39</definedName>
    <definedName name="_xlnm.Print_Area" localSheetId="2">'다. 세출결산'!$A$1:$V$144</definedName>
    <definedName name="_xlnm.Print_Area" localSheetId="3">'라. 세입세출(개요)'!$A$1:$H$39</definedName>
    <definedName name="_xlnm.Print_Area" localSheetId="5">'바. 임직원보수 일람표'!$A$1:$W$11</definedName>
    <definedName name="_xlnm.Print_Area" localSheetId="6">'사. 일용잡급일람표'!$A$1:$G$13</definedName>
    <definedName name="_xlnm.Print_Area" localSheetId="9">'아. 퇴직충당금명세서'!$A$1:$F$17</definedName>
    <definedName name="_xlnm.Print_Area" localSheetId="11">'자. 정부보조금명세서'!$A$1:$G$36</definedName>
    <definedName name="_xlnm.Print_Titles" localSheetId="0">'가. 세입세출(총괄)'!$4:$7</definedName>
    <definedName name="_xlnm.Print_Titles" localSheetId="1">'나. 세입결산'!$4:$6</definedName>
    <definedName name="_xlnm.Print_Titles" localSheetId="2">'다. 세출결산'!$4:$6</definedName>
    <definedName name="_xlnm.Print_Titles" localSheetId="4">'마. 증감사유'!$5:$8</definedName>
    <definedName name="_xlnm.Print_Titles" localSheetId="5">'바. 임직원보수 일람표'!$3:$4</definedName>
    <definedName name="_xlnm.Print_Titles" localSheetId="6">'사. 일용잡급일람표'!$3:$4</definedName>
    <definedName name="보수" localSheetId="7">#REF!</definedName>
    <definedName name="보수">#REF!</definedName>
    <definedName name="보수일람표" localSheetId="7">#REF!</definedName>
    <definedName name="보수일람표">#REF!</definedName>
    <definedName name="보수일람표1" localSheetId="7">#REF!</definedName>
    <definedName name="보수일람표1">#REF!</definedName>
    <definedName name="보수일람표2" localSheetId="7">#REF!</definedName>
    <definedName name="보수일람표2">#REF!</definedName>
    <definedName name="보수일람표3" localSheetId="7">#REF!</definedName>
    <definedName name="보수일람표3">#REF!</definedName>
    <definedName name="ㅇ">#REF!</definedName>
    <definedName name="ㅇㅇㅇ" localSheetId="7">#REF!</definedName>
    <definedName name="ㅇㅇㅇ">#REF!</definedName>
    <definedName name="아" localSheetId="7">#REF!</definedName>
    <definedName name="아">#REF!</definedName>
    <definedName name="임직원보수일람표">#REF!</definedName>
  </definedNames>
  <calcPr calcId="162913" iterate="1"/>
</workbook>
</file>

<file path=xl/calcChain.xml><?xml version="1.0" encoding="utf-8"?>
<calcChain xmlns="http://schemas.openxmlformats.org/spreadsheetml/2006/main">
  <c r="E35" i="12" l="1"/>
  <c r="E29" i="12"/>
  <c r="E36" i="12" s="1"/>
  <c r="L24" i="11"/>
  <c r="K24" i="11"/>
  <c r="L19" i="11"/>
  <c r="L25" i="11" s="1"/>
  <c r="K19" i="11"/>
  <c r="K25" i="11" s="1"/>
  <c r="E17" i="10"/>
  <c r="D17" i="10"/>
  <c r="C17" i="10"/>
  <c r="B17" i="10"/>
  <c r="E6" i="10"/>
  <c r="E7" i="10" s="1"/>
  <c r="E8" i="10" s="1"/>
  <c r="E9" i="10" s="1"/>
  <c r="E10" i="10" s="1"/>
  <c r="E11" i="10" s="1"/>
  <c r="E12" i="10" s="1"/>
  <c r="E13" i="10" s="1"/>
  <c r="E14" i="10" s="1"/>
  <c r="E15" i="10" s="1"/>
  <c r="E16" i="10" s="1"/>
  <c r="E5" i="10"/>
  <c r="F12" i="8"/>
  <c r="F10" i="8"/>
  <c r="F13" i="8" s="1"/>
  <c r="F11" i="7"/>
  <c r="D11" i="7"/>
  <c r="F5" i="7"/>
  <c r="T9" i="6"/>
  <c r="P9" i="6"/>
  <c r="O9" i="6"/>
  <c r="N9" i="6"/>
  <c r="M9" i="6"/>
  <c r="V33" i="3" s="1"/>
  <c r="L9" i="6"/>
  <c r="K9" i="6"/>
  <c r="I9" i="6"/>
  <c r="H9" i="6"/>
  <c r="F9" i="6"/>
  <c r="R8" i="6"/>
  <c r="Q8" i="6"/>
  <c r="J8" i="6"/>
  <c r="V7" i="6"/>
  <c r="R7" i="6"/>
  <c r="Q7" i="6"/>
  <c r="J7" i="6"/>
  <c r="S7" i="6" s="1"/>
  <c r="U6" i="6"/>
  <c r="V6" i="6" s="1"/>
  <c r="T6" i="6"/>
  <c r="Q6" i="6"/>
  <c r="R6" i="6" s="1"/>
  <c r="M6" i="6"/>
  <c r="L6" i="6"/>
  <c r="K6" i="6"/>
  <c r="I6" i="6"/>
  <c r="J6" i="6" s="1"/>
  <c r="G6" i="6"/>
  <c r="F6" i="6"/>
  <c r="V5" i="6"/>
  <c r="U5" i="6"/>
  <c r="T5" i="6"/>
  <c r="R5" i="6"/>
  <c r="R9" i="6" s="1"/>
  <c r="Q5" i="6"/>
  <c r="Q9" i="6" s="1"/>
  <c r="K5" i="6"/>
  <c r="I5" i="6"/>
  <c r="G5" i="6"/>
  <c r="J5" i="6" s="1"/>
  <c r="F5" i="6"/>
  <c r="M42" i="5"/>
  <c r="N42" i="5" s="1"/>
  <c r="L41" i="5"/>
  <c r="L40" i="5" s="1"/>
  <c r="L39" i="5" s="1"/>
  <c r="L38" i="5"/>
  <c r="L37" i="5" s="1"/>
  <c r="L36" i="5" s="1"/>
  <c r="L35" i="5"/>
  <c r="L32" i="5"/>
  <c r="D29" i="5"/>
  <c r="L27" i="5"/>
  <c r="E26" i="5"/>
  <c r="D26" i="5"/>
  <c r="E14" i="5"/>
  <c r="E13" i="5" s="1"/>
  <c r="E12" i="5" s="1"/>
  <c r="D14" i="5"/>
  <c r="D13" i="5" s="1"/>
  <c r="D12" i="5" s="1"/>
  <c r="L12" i="5"/>
  <c r="E11" i="5"/>
  <c r="E10" i="5" s="1"/>
  <c r="E9" i="5"/>
  <c r="F38" i="4"/>
  <c r="F36" i="4"/>
  <c r="F35" i="4"/>
  <c r="F33" i="4"/>
  <c r="D31" i="4"/>
  <c r="F28" i="4"/>
  <c r="F24" i="4"/>
  <c r="F22" i="4"/>
  <c r="D18" i="4"/>
  <c r="F14" i="4"/>
  <c r="F13" i="4"/>
  <c r="F8" i="4"/>
  <c r="D8" i="4"/>
  <c r="E144" i="3"/>
  <c r="F144" i="3" s="1"/>
  <c r="E143" i="3"/>
  <c r="L41" i="1" s="1"/>
  <c r="F142" i="3"/>
  <c r="V141" i="3"/>
  <c r="V140" i="3" s="1"/>
  <c r="K141" i="3"/>
  <c r="K140" i="3" s="1"/>
  <c r="J141" i="3"/>
  <c r="I141" i="3"/>
  <c r="H141" i="3"/>
  <c r="D141" i="3"/>
  <c r="I140" i="3"/>
  <c r="H140" i="3"/>
  <c r="D140" i="3"/>
  <c r="F139" i="3"/>
  <c r="G139" i="3" s="1"/>
  <c r="V138" i="3"/>
  <c r="K138" i="3"/>
  <c r="K137" i="3" s="1"/>
  <c r="J138" i="3"/>
  <c r="J137" i="3" s="1"/>
  <c r="I138" i="3"/>
  <c r="H138" i="3"/>
  <c r="F12" i="4" s="1"/>
  <c r="E138" i="3"/>
  <c r="D138" i="3"/>
  <c r="F138" i="3" s="1"/>
  <c r="G138" i="3" s="1"/>
  <c r="V137" i="3"/>
  <c r="I137" i="3"/>
  <c r="E137" i="3"/>
  <c r="V135" i="3"/>
  <c r="E135" i="3" s="1"/>
  <c r="F135" i="3" s="1"/>
  <c r="K135" i="3"/>
  <c r="I135" i="3"/>
  <c r="I127" i="3" s="1"/>
  <c r="V133" i="3"/>
  <c r="E133" i="3"/>
  <c r="F133" i="3" s="1"/>
  <c r="G133" i="3" s="1"/>
  <c r="J127" i="3"/>
  <c r="O126" i="3"/>
  <c r="V125" i="3"/>
  <c r="J125" i="3"/>
  <c r="I125" i="3"/>
  <c r="H125" i="3"/>
  <c r="H110" i="3" s="1"/>
  <c r="E125" i="3"/>
  <c r="F125" i="3" s="1"/>
  <c r="G125" i="3" s="1"/>
  <c r="O124" i="3"/>
  <c r="O123" i="3"/>
  <c r="V122" i="3"/>
  <c r="E122" i="3" s="1"/>
  <c r="I122" i="3"/>
  <c r="O121" i="3"/>
  <c r="O120" i="3"/>
  <c r="O119" i="3"/>
  <c r="O118" i="3"/>
  <c r="O117" i="3"/>
  <c r="O116" i="3"/>
  <c r="O115" i="3"/>
  <c r="O114" i="3"/>
  <c r="V113" i="3"/>
  <c r="E113" i="3" s="1"/>
  <c r="F113" i="3" s="1"/>
  <c r="G113" i="3" s="1"/>
  <c r="O112" i="3"/>
  <c r="V111" i="3"/>
  <c r="E111" i="3"/>
  <c r="L110" i="3"/>
  <c r="K110" i="3"/>
  <c r="K96" i="3" s="1"/>
  <c r="J110" i="3"/>
  <c r="F21" i="4" s="1"/>
  <c r="D110" i="3"/>
  <c r="O109" i="3"/>
  <c r="O108" i="3"/>
  <c r="V107" i="3"/>
  <c r="E107" i="3" s="1"/>
  <c r="L28" i="1" s="1"/>
  <c r="I107" i="3"/>
  <c r="I97" i="3" s="1"/>
  <c r="O106" i="3"/>
  <c r="V105" i="3"/>
  <c r="E105" i="3" s="1"/>
  <c r="F105" i="3" s="1"/>
  <c r="G105" i="3" s="1"/>
  <c r="I105" i="3"/>
  <c r="V103" i="3"/>
  <c r="E103" i="3" s="1"/>
  <c r="F103" i="3" s="1"/>
  <c r="K103" i="3"/>
  <c r="J103" i="3"/>
  <c r="I103" i="3"/>
  <c r="H103" i="3"/>
  <c r="O101" i="3"/>
  <c r="V100" i="3"/>
  <c r="I100" i="3"/>
  <c r="E100" i="3"/>
  <c r="F100" i="3" s="1"/>
  <c r="G100" i="3" s="1"/>
  <c r="O99" i="3"/>
  <c r="V98" i="3"/>
  <c r="I98" i="3"/>
  <c r="K97" i="3"/>
  <c r="J97" i="3"/>
  <c r="F20" i="4" s="1"/>
  <c r="H97" i="3"/>
  <c r="F10" i="4" s="1"/>
  <c r="D97" i="3"/>
  <c r="D96" i="3"/>
  <c r="O95" i="3"/>
  <c r="O94" i="3"/>
  <c r="O93" i="3"/>
  <c r="O92" i="3"/>
  <c r="V91" i="3"/>
  <c r="E91" i="3" s="1"/>
  <c r="I91" i="3"/>
  <c r="V90" i="3"/>
  <c r="V89" i="3"/>
  <c r="V88" i="3"/>
  <c r="V87" i="3"/>
  <c r="V86" i="3"/>
  <c r="V84" i="3" s="1"/>
  <c r="V85" i="3"/>
  <c r="K84" i="3"/>
  <c r="J84" i="3"/>
  <c r="I84" i="3"/>
  <c r="H84" i="3"/>
  <c r="I83" i="3"/>
  <c r="I82" i="3" s="1"/>
  <c r="I81" i="3" s="1"/>
  <c r="E83" i="3"/>
  <c r="F83" i="3" s="1"/>
  <c r="K82" i="3"/>
  <c r="F34" i="4" s="1"/>
  <c r="J82" i="3"/>
  <c r="F19" i="4" s="1"/>
  <c r="H82" i="3"/>
  <c r="F9" i="4" s="1"/>
  <c r="D82" i="3"/>
  <c r="J81" i="3"/>
  <c r="H81" i="3"/>
  <c r="D81" i="3"/>
  <c r="V77" i="3"/>
  <c r="K77" i="3"/>
  <c r="J77" i="3"/>
  <c r="I77" i="3"/>
  <c r="H77" i="3"/>
  <c r="F77" i="3"/>
  <c r="E77" i="3"/>
  <c r="O76" i="3"/>
  <c r="O75" i="3"/>
  <c r="V74" i="3"/>
  <c r="I74" i="3"/>
  <c r="E74" i="3"/>
  <c r="F74" i="3" s="1"/>
  <c r="G74" i="3" s="1"/>
  <c r="V73" i="3"/>
  <c r="V72" i="3"/>
  <c r="V71" i="3"/>
  <c r="V70" i="3"/>
  <c r="V68" i="3" s="1"/>
  <c r="E68" i="3" s="1"/>
  <c r="F68" i="3" s="1"/>
  <c r="V69" i="3"/>
  <c r="K68" i="3"/>
  <c r="J68" i="3"/>
  <c r="I68" i="3"/>
  <c r="H68" i="3"/>
  <c r="O67" i="3"/>
  <c r="O66" i="3"/>
  <c r="V65" i="3"/>
  <c r="E65" i="3" s="1"/>
  <c r="I65" i="3"/>
  <c r="I48" i="3" s="1"/>
  <c r="F27" i="4" s="1"/>
  <c r="F65" i="3"/>
  <c r="G65" i="3" s="1"/>
  <c r="O64" i="3"/>
  <c r="O63" i="3"/>
  <c r="O62" i="3"/>
  <c r="O61" i="3"/>
  <c r="O60" i="3"/>
  <c r="O59" i="3"/>
  <c r="O58" i="3"/>
  <c r="O57" i="3"/>
  <c r="O56" i="3"/>
  <c r="O55" i="3"/>
  <c r="O52" i="3"/>
  <c r="I51" i="3"/>
  <c r="V49" i="3"/>
  <c r="K49" i="3"/>
  <c r="I49" i="3"/>
  <c r="K48" i="3"/>
  <c r="J48" i="3"/>
  <c r="F18" i="4" s="1"/>
  <c r="H48" i="3"/>
  <c r="D48" i="3"/>
  <c r="D7" i="3" s="1"/>
  <c r="O47" i="3"/>
  <c r="V46" i="3"/>
  <c r="V45" i="3"/>
  <c r="E45" i="3" s="1"/>
  <c r="F45" i="3" s="1"/>
  <c r="K45" i="3"/>
  <c r="V44" i="3"/>
  <c r="V43" i="3" s="1"/>
  <c r="E43" i="3" s="1"/>
  <c r="F43" i="3" s="1"/>
  <c r="K43" i="3"/>
  <c r="V42" i="3"/>
  <c r="V41" i="3"/>
  <c r="V40" i="3" s="1"/>
  <c r="K40" i="3"/>
  <c r="K39" i="3" s="1"/>
  <c r="I40" i="3"/>
  <c r="J39" i="3"/>
  <c r="F17" i="4" s="1"/>
  <c r="I39" i="3"/>
  <c r="H39" i="3"/>
  <c r="D39" i="3"/>
  <c r="V38" i="3"/>
  <c r="V37" i="3"/>
  <c r="V36" i="3" s="1"/>
  <c r="E36" i="3" s="1"/>
  <c r="F36" i="3" s="1"/>
  <c r="K36" i="3"/>
  <c r="V32" i="3"/>
  <c r="V31" i="3"/>
  <c r="V29" i="3"/>
  <c r="V28" i="3" s="1"/>
  <c r="E28" i="3" s="1"/>
  <c r="V27" i="3"/>
  <c r="V26" i="3"/>
  <c r="V25" i="3"/>
  <c r="V24" i="3" s="1"/>
  <c r="V23" i="3"/>
  <c r="V22" i="3"/>
  <c r="V21" i="3" s="1"/>
  <c r="V20" i="3"/>
  <c r="V19" i="3"/>
  <c r="V18" i="3"/>
  <c r="V17" i="3" s="1"/>
  <c r="I16" i="3"/>
  <c r="V15" i="3"/>
  <c r="V14" i="3"/>
  <c r="K14" i="3"/>
  <c r="E14" i="3"/>
  <c r="F14" i="3" s="1"/>
  <c r="V12" i="3"/>
  <c r="O12" i="3" s="1"/>
  <c r="V11" i="3"/>
  <c r="O11" i="3" s="1"/>
  <c r="V10" i="3"/>
  <c r="O10" i="3" s="1"/>
  <c r="J9" i="3"/>
  <c r="J8" i="3" s="1"/>
  <c r="F16" i="4" s="1"/>
  <c r="I9" i="3"/>
  <c r="I8" i="3" s="1"/>
  <c r="K8" i="3"/>
  <c r="F32" i="4" s="1"/>
  <c r="D8" i="3"/>
  <c r="K7" i="3"/>
  <c r="F39" i="2"/>
  <c r="G38" i="2"/>
  <c r="F38" i="2"/>
  <c r="F37" i="2"/>
  <c r="G37" i="2" s="1"/>
  <c r="F36" i="2"/>
  <c r="G36" i="2" s="1"/>
  <c r="F35" i="2"/>
  <c r="E34" i="2"/>
  <c r="D34" i="2"/>
  <c r="D33" i="2"/>
  <c r="G32" i="2"/>
  <c r="F32" i="2"/>
  <c r="F31" i="2"/>
  <c r="G31" i="2" s="1"/>
  <c r="F30" i="2"/>
  <c r="G30" i="2" s="1"/>
  <c r="G29" i="2"/>
  <c r="E29" i="2"/>
  <c r="F29" i="2" s="1"/>
  <c r="D29" i="2"/>
  <c r="D28" i="2" s="1"/>
  <c r="E28" i="2"/>
  <c r="F28" i="2" s="1"/>
  <c r="G28" i="2" s="1"/>
  <c r="F27" i="2"/>
  <c r="G27" i="2" s="1"/>
  <c r="E26" i="2"/>
  <c r="D26" i="2"/>
  <c r="D25" i="2"/>
  <c r="G24" i="2"/>
  <c r="F24" i="2"/>
  <c r="F23" i="2"/>
  <c r="G23" i="2" s="1"/>
  <c r="E22" i="2"/>
  <c r="E21" i="2" s="1"/>
  <c r="F21" i="2" s="1"/>
  <c r="G21" i="2" s="1"/>
  <c r="D22" i="2"/>
  <c r="D21" i="2"/>
  <c r="F20" i="2"/>
  <c r="F19" i="2"/>
  <c r="F18" i="2"/>
  <c r="F17" i="2" s="1"/>
  <c r="E17" i="2"/>
  <c r="E16" i="2" s="1"/>
  <c r="D7" i="4" s="1"/>
  <c r="D6" i="4" s="1"/>
  <c r="D17" i="2"/>
  <c r="D16" i="2"/>
  <c r="F15" i="2"/>
  <c r="F14" i="2" s="1"/>
  <c r="E14" i="2"/>
  <c r="E13" i="2" s="1"/>
  <c r="D14" i="2"/>
  <c r="D13" i="2"/>
  <c r="F12" i="2"/>
  <c r="F11" i="2"/>
  <c r="F10" i="2" s="1"/>
  <c r="E11" i="2"/>
  <c r="D17" i="4" s="1"/>
  <c r="D11" i="2"/>
  <c r="D10" i="2" s="1"/>
  <c r="D6" i="2" s="1"/>
  <c r="E10" i="2"/>
  <c r="F9" i="2"/>
  <c r="G9" i="2" s="1"/>
  <c r="E8" i="2"/>
  <c r="E7" i="2" s="1"/>
  <c r="F7" i="2" s="1"/>
  <c r="D8" i="2"/>
  <c r="D7" i="2"/>
  <c r="L42" i="1"/>
  <c r="M42" i="1" s="1"/>
  <c r="K42" i="1"/>
  <c r="K41" i="1"/>
  <c r="K40" i="1" s="1"/>
  <c r="L40" i="1"/>
  <c r="M40" i="1" s="1"/>
  <c r="N40" i="1" s="1"/>
  <c r="K39" i="1"/>
  <c r="L38" i="1"/>
  <c r="M38" i="1" s="1"/>
  <c r="N38" i="1" s="1"/>
  <c r="K38" i="1"/>
  <c r="K37" i="1" s="1"/>
  <c r="L37" i="1"/>
  <c r="M37" i="1" s="1"/>
  <c r="N37" i="1" s="1"/>
  <c r="L36" i="1"/>
  <c r="M36" i="1" s="1"/>
  <c r="N36" i="1" s="1"/>
  <c r="K36" i="1"/>
  <c r="L35" i="1"/>
  <c r="M35" i="1" s="1"/>
  <c r="N35" i="1" s="1"/>
  <c r="K35" i="1"/>
  <c r="K34" i="1"/>
  <c r="K33" i="1"/>
  <c r="L34" i="5" s="1"/>
  <c r="K32" i="1"/>
  <c r="L33" i="5" s="1"/>
  <c r="L31" i="1"/>
  <c r="M31" i="1" s="1"/>
  <c r="N31" i="1" s="1"/>
  <c r="K31" i="1"/>
  <c r="L30" i="1"/>
  <c r="M31" i="5" s="1"/>
  <c r="K30" i="1"/>
  <c r="G30" i="1"/>
  <c r="E30" i="1"/>
  <c r="F30" i="1" s="1"/>
  <c r="D30" i="1"/>
  <c r="D31" i="5" s="1"/>
  <c r="E29" i="1"/>
  <c r="E30" i="5" s="1"/>
  <c r="F30" i="5" s="1"/>
  <c r="G30" i="5" s="1"/>
  <c r="D29" i="1"/>
  <c r="D30" i="5" s="1"/>
  <c r="K28" i="1"/>
  <c r="L29" i="5" s="1"/>
  <c r="E28" i="1"/>
  <c r="F28" i="1" s="1"/>
  <c r="G28" i="1" s="1"/>
  <c r="D28" i="1"/>
  <c r="L27" i="1"/>
  <c r="M28" i="5" s="1"/>
  <c r="K27" i="1"/>
  <c r="L28" i="5" s="1"/>
  <c r="D27" i="1"/>
  <c r="L26" i="1"/>
  <c r="M26" i="1" s="1"/>
  <c r="N26" i="1" s="1"/>
  <c r="K26" i="1"/>
  <c r="D26" i="1"/>
  <c r="K25" i="1"/>
  <c r="L26" i="5" s="1"/>
  <c r="E25" i="1"/>
  <c r="F25" i="1" s="1"/>
  <c r="G25" i="1" s="1"/>
  <c r="D25" i="1"/>
  <c r="E24" i="1"/>
  <c r="F24" i="1" s="1"/>
  <c r="G24" i="1" s="1"/>
  <c r="D24" i="1"/>
  <c r="D25" i="5" s="1"/>
  <c r="E23" i="1"/>
  <c r="E24" i="5" s="1"/>
  <c r="D23" i="1"/>
  <c r="D22" i="1" s="1"/>
  <c r="D21" i="1" s="1"/>
  <c r="K22" i="1"/>
  <c r="L23" i="5" s="1"/>
  <c r="L22" i="5" s="1"/>
  <c r="L21" i="5" s="1"/>
  <c r="E22" i="1"/>
  <c r="K21" i="1"/>
  <c r="K20" i="1" s="1"/>
  <c r="E20" i="1"/>
  <c r="F20" i="1" s="1"/>
  <c r="G20" i="1" s="1"/>
  <c r="D20" i="1"/>
  <c r="L19" i="1"/>
  <c r="M19" i="1" s="1"/>
  <c r="N19" i="1" s="1"/>
  <c r="K19" i="1"/>
  <c r="L20" i="5" s="1"/>
  <c r="E19" i="1"/>
  <c r="L18" i="1"/>
  <c r="M18" i="1" s="1"/>
  <c r="N18" i="1" s="1"/>
  <c r="K18" i="1"/>
  <c r="K16" i="1" s="1"/>
  <c r="K17" i="1"/>
  <c r="L18" i="5" s="1"/>
  <c r="E17" i="1"/>
  <c r="E18" i="5" s="1"/>
  <c r="D17" i="1"/>
  <c r="E16" i="1"/>
  <c r="D16" i="1"/>
  <c r="D17" i="5" s="1"/>
  <c r="L15" i="1"/>
  <c r="K15" i="1"/>
  <c r="K13" i="1"/>
  <c r="L14" i="5" s="1"/>
  <c r="F13" i="1"/>
  <c r="G13" i="1" s="1"/>
  <c r="E13" i="1"/>
  <c r="D13" i="1"/>
  <c r="K12" i="1"/>
  <c r="L13" i="5" s="1"/>
  <c r="E12" i="1"/>
  <c r="E11" i="1" s="1"/>
  <c r="F11" i="1" s="1"/>
  <c r="G11" i="1" s="1"/>
  <c r="D12" i="1"/>
  <c r="K11" i="1"/>
  <c r="D11" i="1"/>
  <c r="K10" i="1"/>
  <c r="L11" i="5" s="1"/>
  <c r="F10" i="1"/>
  <c r="G10" i="1" s="1"/>
  <c r="E10" i="1"/>
  <c r="D10" i="1"/>
  <c r="D11" i="5" s="1"/>
  <c r="D10" i="5" s="1"/>
  <c r="D9" i="5" s="1"/>
  <c r="E9" i="1"/>
  <c r="E8" i="1" s="1"/>
  <c r="D9" i="1"/>
  <c r="D8" i="1" s="1"/>
  <c r="V16" i="3" l="1"/>
  <c r="E16" i="3" s="1"/>
  <c r="V30" i="3"/>
  <c r="E30" i="3" s="1"/>
  <c r="F30" i="3" s="1"/>
  <c r="G30" i="3" s="1"/>
  <c r="J7" i="3"/>
  <c r="L12" i="1"/>
  <c r="F28" i="3"/>
  <c r="G28" i="3" s="1"/>
  <c r="F13" i="2"/>
  <c r="E6" i="2"/>
  <c r="E84" i="3"/>
  <c r="F84" i="3" s="1"/>
  <c r="G84" i="3" s="1"/>
  <c r="V82" i="3"/>
  <c r="V81" i="3" s="1"/>
  <c r="K6" i="3"/>
  <c r="F16" i="3"/>
  <c r="G16" i="3" s="1"/>
  <c r="L11" i="1"/>
  <c r="F16" i="2"/>
  <c r="G16" i="2" s="1"/>
  <c r="G17" i="2"/>
  <c r="J140" i="3"/>
  <c r="F23" i="4"/>
  <c r="F15" i="4" s="1"/>
  <c r="F26" i="5"/>
  <c r="G18" i="2"/>
  <c r="V39" i="3"/>
  <c r="E40" i="3"/>
  <c r="M30" i="1"/>
  <c r="L39" i="1"/>
  <c r="M39" i="1" s="1"/>
  <c r="N39" i="1" s="1"/>
  <c r="D137" i="3"/>
  <c r="D6" i="3" s="1"/>
  <c r="D16" i="4"/>
  <c r="D15" i="4" s="1"/>
  <c r="C5" i="4" s="1"/>
  <c r="E21" i="5"/>
  <c r="M32" i="5"/>
  <c r="N32" i="5" s="1"/>
  <c r="O32" i="5" s="1"/>
  <c r="V9" i="6"/>
  <c r="M19" i="5"/>
  <c r="N19" i="5" s="1"/>
  <c r="O19" i="5" s="1"/>
  <c r="N31" i="5"/>
  <c r="O31" i="5" s="1"/>
  <c r="F9" i="1"/>
  <c r="G9" i="1" s="1"/>
  <c r="E17" i="5"/>
  <c r="F16" i="1"/>
  <c r="E18" i="1"/>
  <c r="E25" i="2"/>
  <c r="F25" i="2" s="1"/>
  <c r="G25" i="2" s="1"/>
  <c r="D26" i="4"/>
  <c r="D25" i="4" s="1"/>
  <c r="L22" i="1"/>
  <c r="F91" i="3"/>
  <c r="G91" i="3" s="1"/>
  <c r="M27" i="5"/>
  <c r="N27" i="5" s="1"/>
  <c r="O27" i="5" s="1"/>
  <c r="J9" i="6"/>
  <c r="L14" i="1"/>
  <c r="M16" i="5"/>
  <c r="M28" i="1"/>
  <c r="N28" i="1" s="1"/>
  <c r="M29" i="5"/>
  <c r="N29" i="5" s="1"/>
  <c r="O29" i="5" s="1"/>
  <c r="L19" i="5"/>
  <c r="L31" i="5"/>
  <c r="L30" i="5" s="1"/>
  <c r="K29" i="1"/>
  <c r="L13" i="1"/>
  <c r="G7" i="2"/>
  <c r="F6" i="2"/>
  <c r="G6" i="2" s="1"/>
  <c r="K9" i="1"/>
  <c r="D15" i="1"/>
  <c r="D14" i="1" s="1"/>
  <c r="D7" i="1" s="1"/>
  <c r="D18" i="5"/>
  <c r="F18" i="5" s="1"/>
  <c r="K24" i="1"/>
  <c r="K23" i="1" s="1"/>
  <c r="F8" i="2"/>
  <c r="G8" i="2" s="1"/>
  <c r="F26" i="2"/>
  <c r="G26" i="2" s="1"/>
  <c r="F31" i="4"/>
  <c r="M41" i="1"/>
  <c r="M41" i="5"/>
  <c r="F11" i="4"/>
  <c r="H96" i="3"/>
  <c r="E21" i="1"/>
  <c r="F21" i="1" s="1"/>
  <c r="G21" i="1" s="1"/>
  <c r="F22" i="1"/>
  <c r="G22" i="1" s="1"/>
  <c r="K81" i="3"/>
  <c r="D28" i="5"/>
  <c r="D27" i="5" s="1"/>
  <c r="M15" i="1"/>
  <c r="F12" i="1"/>
  <c r="G12" i="1" s="1"/>
  <c r="D19" i="1"/>
  <c r="D18" i="1" s="1"/>
  <c r="D21" i="5"/>
  <c r="D20" i="5" s="1"/>
  <c r="D19" i="5" s="1"/>
  <c r="F22" i="2"/>
  <c r="G22" i="2" s="1"/>
  <c r="E98" i="3"/>
  <c r="V97" i="3"/>
  <c r="F111" i="3"/>
  <c r="I110" i="3"/>
  <c r="I96" i="3" s="1"/>
  <c r="D24" i="5"/>
  <c r="D23" i="5" s="1"/>
  <c r="D22" i="5" s="1"/>
  <c r="E29" i="5"/>
  <c r="D16" i="5"/>
  <c r="D15" i="5" s="1"/>
  <c r="D8" i="5" s="1"/>
  <c r="F17" i="1"/>
  <c r="G17" i="1" s="1"/>
  <c r="E27" i="1"/>
  <c r="E33" i="2"/>
  <c r="F33" i="2" s="1"/>
  <c r="G33" i="2" s="1"/>
  <c r="F26" i="4"/>
  <c r="F25" i="4" s="1"/>
  <c r="I7" i="3"/>
  <c r="E49" i="3"/>
  <c r="L32" i="1"/>
  <c r="F122" i="3"/>
  <c r="G122" i="3" s="1"/>
  <c r="S5" i="6"/>
  <c r="S9" i="6" s="1"/>
  <c r="E15" i="1"/>
  <c r="L10" i="5"/>
  <c r="L33" i="1"/>
  <c r="F107" i="3"/>
  <c r="G107" i="3" s="1"/>
  <c r="F29" i="1"/>
  <c r="G29" i="1" s="1"/>
  <c r="L17" i="5"/>
  <c r="E23" i="5"/>
  <c r="E22" i="5" s="1"/>
  <c r="N28" i="5"/>
  <c r="O28" i="5" s="1"/>
  <c r="F34" i="2"/>
  <c r="G34" i="2" s="1"/>
  <c r="F8" i="1"/>
  <c r="K14" i="1"/>
  <c r="L16" i="5"/>
  <c r="L15" i="5" s="1"/>
  <c r="F23" i="1"/>
  <c r="G23" i="1" s="1"/>
  <c r="L25" i="5"/>
  <c r="L24" i="5" s="1"/>
  <c r="M27" i="1"/>
  <c r="N27" i="1" s="1"/>
  <c r="V127" i="3"/>
  <c r="U9" i="6"/>
  <c r="M38" i="5"/>
  <c r="G9" i="6"/>
  <c r="F14" i="5"/>
  <c r="F13" i="5" s="1"/>
  <c r="F12" i="5" s="1"/>
  <c r="E31" i="5"/>
  <c r="F31" i="5" s="1"/>
  <c r="G31" i="5" s="1"/>
  <c r="H137" i="3"/>
  <c r="F143" i="3"/>
  <c r="G143" i="3" s="1"/>
  <c r="F11" i="5"/>
  <c r="V9" i="3"/>
  <c r="E25" i="5"/>
  <c r="F25" i="5" s="1"/>
  <c r="E141" i="3"/>
  <c r="J96" i="3"/>
  <c r="J6" i="3" s="1"/>
  <c r="M20" i="5"/>
  <c r="N20" i="5" s="1"/>
  <c r="O20" i="5" s="1"/>
  <c r="M12" i="5" l="1"/>
  <c r="N12" i="5" s="1"/>
  <c r="O12" i="5" s="1"/>
  <c r="M11" i="1"/>
  <c r="N11" i="1" s="1"/>
  <c r="G8" i="1"/>
  <c r="F49" i="3"/>
  <c r="N16" i="5"/>
  <c r="M15" i="5"/>
  <c r="N15" i="5" s="1"/>
  <c r="M32" i="1"/>
  <c r="N32" i="1" s="1"/>
  <c r="M33" i="5"/>
  <c r="F137" i="3"/>
  <c r="G137" i="3" s="1"/>
  <c r="E127" i="3"/>
  <c r="V110" i="3"/>
  <c r="F98" i="3"/>
  <c r="G98" i="3" s="1"/>
  <c r="L25" i="1"/>
  <c r="E97" i="3"/>
  <c r="M22" i="1"/>
  <c r="N22" i="1" s="1"/>
  <c r="M23" i="5"/>
  <c r="L21" i="1"/>
  <c r="E82" i="3"/>
  <c r="F27" i="1"/>
  <c r="G27" i="1" s="1"/>
  <c r="E26" i="1"/>
  <c r="F26" i="1" s="1"/>
  <c r="G26" i="1" s="1"/>
  <c r="M12" i="1"/>
  <c r="N12" i="1" s="1"/>
  <c r="M13" i="5"/>
  <c r="N13" i="5" s="1"/>
  <c r="O13" i="5" s="1"/>
  <c r="E14" i="1"/>
  <c r="F15" i="1"/>
  <c r="G16" i="1" s="1"/>
  <c r="E16" i="5"/>
  <c r="E15" i="5" s="1"/>
  <c r="F17" i="5"/>
  <c r="F16" i="5" s="1"/>
  <c r="F15" i="5" s="1"/>
  <c r="M14" i="1"/>
  <c r="M37" i="5"/>
  <c r="N38" i="5"/>
  <c r="O38" i="5" s="1"/>
  <c r="N30" i="1"/>
  <c r="G111" i="3"/>
  <c r="K8" i="1"/>
  <c r="K7" i="1" s="1"/>
  <c r="F40" i="3"/>
  <c r="E39" i="3"/>
  <c r="F39" i="3" s="1"/>
  <c r="I6" i="3"/>
  <c r="M14" i="5"/>
  <c r="N14" i="5" s="1"/>
  <c r="O14" i="5" s="1"/>
  <c r="M13" i="1"/>
  <c r="N13" i="1" s="1"/>
  <c r="O31" i="3"/>
  <c r="H9" i="3"/>
  <c r="H8" i="3" s="1"/>
  <c r="V8" i="3"/>
  <c r="O32" i="3"/>
  <c r="O29" i="3"/>
  <c r="E9" i="3"/>
  <c r="O34" i="3"/>
  <c r="O35" i="3"/>
  <c r="M40" i="5"/>
  <c r="N41" i="5"/>
  <c r="F10" i="5"/>
  <c r="G11" i="5"/>
  <c r="M34" i="5"/>
  <c r="N34" i="5" s="1"/>
  <c r="O34" i="5" s="1"/>
  <c r="M33" i="1"/>
  <c r="N33" i="1" s="1"/>
  <c r="F19" i="1"/>
  <c r="G19" i="1" s="1"/>
  <c r="E20" i="5"/>
  <c r="E19" i="5" s="1"/>
  <c r="F21" i="5"/>
  <c r="F20" i="5" s="1"/>
  <c r="F19" i="5" s="1"/>
  <c r="E28" i="5"/>
  <c r="E27" i="5" s="1"/>
  <c r="F29" i="5"/>
  <c r="F141" i="3"/>
  <c r="G141" i="3" s="1"/>
  <c r="E140" i="3"/>
  <c r="F140" i="3" s="1"/>
  <c r="G140" i="3" s="1"/>
  <c r="V96" i="3"/>
  <c r="L9" i="5"/>
  <c r="L8" i="5" s="1"/>
  <c r="F18" i="1"/>
  <c r="G18" i="1" s="1"/>
  <c r="F24" i="5"/>
  <c r="F23" i="5" s="1"/>
  <c r="F127" i="3" l="1"/>
  <c r="L34" i="1"/>
  <c r="E110" i="3"/>
  <c r="E8" i="3"/>
  <c r="L10" i="1"/>
  <c r="F9" i="3"/>
  <c r="G9" i="3" s="1"/>
  <c r="E81" i="3"/>
  <c r="F81" i="3" s="1"/>
  <c r="G81" i="3" s="1"/>
  <c r="F82" i="3"/>
  <c r="G82" i="3" s="1"/>
  <c r="N33" i="5"/>
  <c r="O33" i="5" s="1"/>
  <c r="F22" i="5"/>
  <c r="G22" i="5" s="1"/>
  <c r="G23" i="5"/>
  <c r="N37" i="5"/>
  <c r="O37" i="5" s="1"/>
  <c r="M36" i="5"/>
  <c r="N36" i="5" s="1"/>
  <c r="O36" i="5" s="1"/>
  <c r="N23" i="5"/>
  <c r="O23" i="5" s="1"/>
  <c r="M22" i="5"/>
  <c r="E8" i="5"/>
  <c r="M25" i="1"/>
  <c r="N25" i="1" s="1"/>
  <c r="M26" i="5"/>
  <c r="L24" i="1"/>
  <c r="L20" i="1"/>
  <c r="M20" i="1" s="1"/>
  <c r="N20" i="1" s="1"/>
  <c r="M21" i="1"/>
  <c r="N21" i="1" s="1"/>
  <c r="G10" i="5"/>
  <c r="F9" i="5"/>
  <c r="E96" i="3"/>
  <c r="F96" i="3" s="1"/>
  <c r="G96" i="3" s="1"/>
  <c r="F97" i="3"/>
  <c r="G97" i="3" s="1"/>
  <c r="N40" i="5"/>
  <c r="O40" i="5" s="1"/>
  <c r="M39" i="5"/>
  <c r="N39" i="5" s="1"/>
  <c r="O39" i="5" s="1"/>
  <c r="F7" i="4"/>
  <c r="F6" i="4" s="1"/>
  <c r="E5" i="4" s="1"/>
  <c r="H7" i="3"/>
  <c r="H6" i="3" s="1"/>
  <c r="F28" i="5"/>
  <c r="G29" i="5"/>
  <c r="F14" i="1"/>
  <c r="E7" i="1"/>
  <c r="M25" i="5" l="1"/>
  <c r="N26" i="5"/>
  <c r="O26" i="5" s="1"/>
  <c r="M11" i="5"/>
  <c r="L9" i="1"/>
  <c r="M10" i="1"/>
  <c r="N10" i="1" s="1"/>
  <c r="F8" i="3"/>
  <c r="G8" i="3" s="1"/>
  <c r="G14" i="1"/>
  <c r="F7" i="1"/>
  <c r="G7" i="1" s="1"/>
  <c r="F27" i="5"/>
  <c r="G27" i="5" s="1"/>
  <c r="G28" i="5"/>
  <c r="M24" i="1"/>
  <c r="N24" i="1" s="1"/>
  <c r="M21" i="5"/>
  <c r="N21" i="5" s="1"/>
  <c r="O21" i="5" s="1"/>
  <c r="N22" i="5"/>
  <c r="O22" i="5" s="1"/>
  <c r="G9" i="5"/>
  <c r="M34" i="1"/>
  <c r="M35" i="5"/>
  <c r="L29" i="1"/>
  <c r="L23" i="1" s="1"/>
  <c r="M23" i="1" s="1"/>
  <c r="N23" i="1" s="1"/>
  <c r="G127" i="3"/>
  <c r="G110" i="3" s="1"/>
  <c r="F110" i="3"/>
  <c r="N34" i="1" l="1"/>
  <c r="M29" i="1"/>
  <c r="N29" i="1" s="1"/>
  <c r="N35" i="5"/>
  <c r="M30" i="5"/>
  <c r="N30" i="5" s="1"/>
  <c r="O30" i="5" s="1"/>
  <c r="F8" i="5"/>
  <c r="G8" i="5" s="1"/>
  <c r="M9" i="1"/>
  <c r="N9" i="1" s="1"/>
  <c r="N11" i="5"/>
  <c r="M10" i="5"/>
  <c r="M24" i="5"/>
  <c r="N24" i="5" s="1"/>
  <c r="O24" i="5" s="1"/>
  <c r="N25" i="5"/>
  <c r="O25" i="5" s="1"/>
  <c r="O11" i="5" l="1"/>
  <c r="N10" i="5"/>
  <c r="O10" i="5" s="1"/>
  <c r="L7" i="1"/>
  <c r="M7" i="1"/>
  <c r="N7" i="1"/>
  <c r="L8" i="1"/>
  <c r="M8" i="1"/>
  <c r="N8" i="1"/>
  <c r="L16" i="1"/>
  <c r="M16" i="1"/>
  <c r="N16" i="1"/>
  <c r="L17" i="1"/>
  <c r="M17" i="1"/>
  <c r="N17" i="1"/>
  <c r="E6" i="3"/>
  <c r="F6" i="3"/>
  <c r="G6" i="3"/>
  <c r="M6" i="3"/>
  <c r="E7" i="3"/>
  <c r="F7" i="3"/>
  <c r="G7" i="3"/>
  <c r="V7" i="3"/>
  <c r="E48" i="3"/>
  <c r="F48" i="3"/>
  <c r="G48" i="3"/>
  <c r="V48" i="3"/>
  <c r="E51" i="3"/>
  <c r="F51" i="3"/>
  <c r="G51" i="3"/>
  <c r="V51" i="3"/>
  <c r="O53" i="3"/>
  <c r="V53" i="3"/>
  <c r="O54" i="3"/>
  <c r="V54" i="3"/>
  <c r="M8" i="5"/>
  <c r="N8" i="5"/>
  <c r="O8" i="5"/>
  <c r="M9" i="5"/>
  <c r="N9" i="5"/>
  <c r="O9" i="5"/>
  <c r="M17" i="5"/>
  <c r="N17" i="5"/>
  <c r="M18" i="5"/>
  <c r="N18" i="5"/>
  <c r="O18" i="5"/>
</calcChain>
</file>

<file path=xl/sharedStrings.xml><?xml version="1.0" encoding="utf-8"?>
<sst xmlns="http://schemas.openxmlformats.org/spreadsheetml/2006/main" count="1107" uniqueCount="403">
  <si>
    <t>*전년도이월금 (보조금) : 4,066,171원, (예금이자) : 18,610원</t>
  </si>
  <si>
    <t>*전년도이월금 (자부담) : 3,012,000원, (예금이자) : 61원</t>
  </si>
  <si>
    <t>코로나 확산 감소로 인해 의약품 및 방역 관련 물품 구입 감소</t>
  </si>
  <si>
    <t>2분기 별빛라온 종사자인건비</t>
  </si>
  <si>
    <t>2022.10.~12.</t>
  </si>
  <si>
    <t>1분기 별빛라온 운영비보조금</t>
  </si>
  <si>
    <t>이용인홈 이동으로 인해 감액</t>
  </si>
  <si>
    <t>2023 퇴직연금 총계</t>
  </si>
  <si>
    <t>실 지출이 반영된 차액 발생</t>
  </si>
  <si>
    <t>마.  증감사유(라온)</t>
  </si>
  <si>
    <t>4분기 별빛라온 운영비보조금</t>
  </si>
  <si>
    <t>2023년
예산 (A)</t>
  </si>
  <si>
    <t>2분기 별빛라온 운영비보조금</t>
  </si>
  <si>
    <t>3511211343533</t>
  </si>
  <si>
    <t>시설장
(라온
사회재활교사)</t>
  </si>
  <si>
    <t>합             계</t>
  </si>
  <si>
    <t>별빛사온 4종 예금이자수입</t>
  </si>
  <si>
    <r>
      <t xml:space="preserve">라.  세입 </t>
    </r>
    <r>
      <rPr>
        <b/>
        <sz val="14"/>
        <color rgb="FF000000"/>
        <rFont val="굴림"/>
        <family val="3"/>
        <charset val="129"/>
      </rPr>
      <t>∙</t>
    </r>
    <r>
      <rPr>
        <b/>
        <sz val="14"/>
        <color rgb="FF000000"/>
        <rFont val="HY그래픽"/>
        <family val="1"/>
        <charset val="129"/>
      </rPr>
      <t xml:space="preserve"> 세출  개요(라온)</t>
    </r>
  </si>
  <si>
    <t>가.  세입.세출 총괄표(라온)</t>
  </si>
  <si>
    <t>4분기 별빛라온 4종 입소자피복비</t>
  </si>
  <si>
    <t>2분기 별빛라온 4종 입소자간식비</t>
  </si>
  <si>
    <t>세                입</t>
  </si>
  <si>
    <t>2분기 별빛라온 4종 입소자피복비</t>
  </si>
  <si>
    <t>4분기 별빛라온 4종 입소자간식비</t>
  </si>
  <si>
    <t>증감율(%)
(C/A*100)</t>
  </si>
  <si>
    <t>2023년 12월 31일 기준</t>
  </si>
  <si>
    <t>1분기 별빛라온 4종 입소자부식비</t>
  </si>
  <si>
    <t>1분기 별빛라온 4종 입소자간식비</t>
  </si>
  <si>
    <t>세                출</t>
  </si>
  <si>
    <t>3분기 별빛라온 4종 입소자피복비</t>
  </si>
  <si>
    <t>4분기 별빛라온 4종 입소자부식비</t>
  </si>
  <si>
    <t>2분기 별빛라온 4종 입소자부식비</t>
  </si>
  <si>
    <t>종사자 해당 사회보험부담금 조율</t>
  </si>
  <si>
    <t>1년이상 퇴직자 퇴직연금 지급</t>
  </si>
  <si>
    <t>1분기 별빛라온 4종 입소자피복비</t>
  </si>
  <si>
    <t>복합기, 프린터
임대료(사무실)</t>
  </si>
  <si>
    <t>◆운영비예금이자 반납 7,600</t>
  </si>
  <si>
    <t>3분기 별빛라온 4종 입소자부식비</t>
  </si>
  <si>
    <t>정원 미달로 인해 지원비 지출 감소</t>
  </si>
  <si>
    <t>바. 임직원 보수 일람표(라온)</t>
  </si>
  <si>
    <t>차. 정부보조금 명세서(라온)</t>
  </si>
  <si>
    <t>◆운영비예금이자 반납 18,610원</t>
  </si>
  <si>
    <t>무료 교육으로 인해 예산 대비 감액</t>
  </si>
  <si>
    <t>3분기 별빛라온 4종 입소자간식비</t>
  </si>
  <si>
    <t>사. 현금 및 예금명세서(라온)</t>
  </si>
  <si>
    <t>부모간단회
다과비</t>
  </si>
  <si>
    <t>7종 운영지원사업</t>
  </si>
  <si>
    <t>산  출  내  역</t>
  </si>
  <si>
    <t>퇴직금및퇴직적립금</t>
  </si>
  <si>
    <t>지역사회교류사업비</t>
  </si>
  <si>
    <t>아. 일용잡급 일람표</t>
  </si>
  <si>
    <t>프로그램사업수입</t>
  </si>
  <si>
    <t>라온 4종 운영비</t>
  </si>
  <si>
    <t>2023.01~12.</t>
  </si>
  <si>
    <t>지자체 
지급액 계</t>
  </si>
  <si>
    <t>2023년
결산 (B)</t>
  </si>
  <si>
    <t>3분기 별빛라온 종사자인건비</t>
  </si>
  <si>
    <t xml:space="preserve"> 산   출   내   역</t>
  </si>
  <si>
    <t>증감금액
(C=B-A)</t>
  </si>
  <si>
    <t>◆ 7종 운영비지원사업</t>
  </si>
  <si>
    <t>4분기 별빛라온 종사자인건비</t>
  </si>
  <si>
    <t>나.  세입결산서(라온)</t>
  </si>
  <si>
    <t>다.  세출결산서(라온)</t>
  </si>
  <si>
    <t>지역사회기관
교류 및 행사</t>
  </si>
  <si>
    <t>3550073498213</t>
  </si>
  <si>
    <t>260-005-925969</t>
  </si>
  <si>
    <t xml:space="preserve">거래내역조회(회사조회) </t>
  </si>
  <si>
    <t>퇴직금 및 
퇴직적립금</t>
  </si>
  <si>
    <t>3511211341713</t>
  </si>
  <si>
    <t>3분기 별빛라온 운영비보조금</t>
  </si>
  <si>
    <t>별빛라온 운영비 예금이자수입</t>
  </si>
  <si>
    <t>3511248696983</t>
  </si>
  <si>
    <t>별빛사온 운영비 예금이자수입</t>
  </si>
  <si>
    <t>1분기 별빛라온 종사자인건비</t>
  </si>
  <si>
    <t>* 예금이자 (보조금 14,430원, 자부담 444원)</t>
  </si>
  <si>
    <t>개인별 시간외 시급계산 : 기본급X1/209X1.5</t>
  </si>
  <si>
    <t xml:space="preserve">                       (단위 : 원)</t>
  </si>
  <si>
    <t>정원 대비 입소자  미달로 인해 생활용품 구입 감소</t>
  </si>
  <si>
    <t>난방 절약 및 온화한 날씨로 인해 난방비 지출 감액</t>
  </si>
  <si>
    <t>부담금계</t>
  </si>
  <si>
    <t>◆ 급여</t>
  </si>
  <si>
    <t>프린터임대료</t>
  </si>
  <si>
    <t>◆ 의료비</t>
  </si>
  <si>
    <t>장기요양</t>
  </si>
  <si>
    <t>사업비계</t>
  </si>
  <si>
    <t>후원금수입</t>
  </si>
  <si>
    <t>사회보험부담금</t>
  </si>
  <si>
    <t>환경개선사업</t>
  </si>
  <si>
    <t>지정후원금</t>
  </si>
  <si>
    <t>사온 입소비용</t>
  </si>
  <si>
    <t>◆ 기관운영비</t>
  </si>
  <si>
    <t>◆ 일용잡급</t>
  </si>
  <si>
    <t>법인전입금</t>
  </si>
  <si>
    <t>비지정후원금</t>
  </si>
  <si>
    <t>건강보험료</t>
  </si>
  <si>
    <t>업무추진비</t>
  </si>
  <si>
    <t>사업수입</t>
  </si>
  <si>
    <t>승강기배상보험</t>
  </si>
  <si>
    <t>직원복리후생비</t>
  </si>
  <si>
    <t>회사계좌번호</t>
  </si>
  <si>
    <t>재산조성비계</t>
  </si>
  <si>
    <t>불용품매각대</t>
  </si>
  <si>
    <t>2-정시</t>
  </si>
  <si>
    <t>유관기관경비</t>
  </si>
  <si>
    <t>◆ 잡지출</t>
  </si>
  <si>
    <t>1/12</t>
  </si>
  <si>
    <t>연장근로수당</t>
  </si>
  <si>
    <t>자산관리수수료</t>
  </si>
  <si>
    <t>보충부담금</t>
  </si>
  <si>
    <t>기타후생경비</t>
  </si>
  <si>
    <t>입소자피복비</t>
  </si>
  <si>
    <t>차년도이월금</t>
  </si>
  <si>
    <t>직원근무복</t>
  </si>
  <si>
    <t>주말급량비</t>
  </si>
  <si>
    <t>◆ 피복비</t>
  </si>
  <si>
    <t>회사고객명</t>
  </si>
  <si>
    <t>◆ 자산취득비</t>
  </si>
  <si>
    <t>회사고객번호</t>
  </si>
  <si>
    <t>시군구보조금</t>
  </si>
  <si>
    <t>직책보조비</t>
  </si>
  <si>
    <t>여름캠프비</t>
  </si>
  <si>
    <t>◆ 생계비</t>
  </si>
  <si>
    <t>예비비및기타계</t>
  </si>
  <si>
    <t>입금일자</t>
  </si>
  <si>
    <t>365일</t>
  </si>
  <si>
    <t>소   계</t>
  </si>
  <si>
    <t>현재잔액</t>
  </si>
  <si>
    <t>◆ 차량비</t>
  </si>
  <si>
    <t>불용품매각 무</t>
  </si>
  <si>
    <t>화재보험</t>
  </si>
  <si>
    <t>의약품구입비</t>
  </si>
  <si>
    <t>명함제작비</t>
  </si>
  <si>
    <t>난방연료비</t>
  </si>
  <si>
    <t>침대렌탈료</t>
  </si>
  <si>
    <t>잡수입 계</t>
  </si>
  <si>
    <t>제세공과금</t>
  </si>
  <si>
    <t>산출내역</t>
  </si>
  <si>
    <t>신한은행</t>
  </si>
  <si>
    <t>문화여가</t>
  </si>
  <si>
    <t>자부담계</t>
  </si>
  <si>
    <t>수령일자</t>
  </si>
  <si>
    <t>◆ 직책보조비</t>
  </si>
  <si>
    <t>시설비계</t>
  </si>
  <si>
    <t>교육강사비</t>
  </si>
  <si>
    <t>업무추진계비</t>
  </si>
  <si>
    <t>예초기연료</t>
  </si>
  <si>
    <t>기타운영비</t>
  </si>
  <si>
    <t>일용잡급</t>
  </si>
  <si>
    <t>부담금구분</t>
  </si>
  <si>
    <t>시도보조금 계</t>
  </si>
  <si>
    <t>일상용품구입</t>
  </si>
  <si>
    <t>구속성금액</t>
  </si>
  <si>
    <t>운영비계</t>
  </si>
  <si>
    <t>◆ 제수당</t>
  </si>
  <si>
    <t>◆ 시설비</t>
  </si>
  <si>
    <t>보통예금</t>
  </si>
  <si>
    <t>생일잔치</t>
  </si>
  <si>
    <t>요리활동</t>
  </si>
  <si>
    <t>◆ 기타운영비</t>
  </si>
  <si>
    <t>운용관리수수료</t>
  </si>
  <si>
    <t>정서안정</t>
  </si>
  <si>
    <t>라온 운영비</t>
  </si>
  <si>
    <t>보조계정(항)</t>
  </si>
  <si>
    <t>홈나들이</t>
  </si>
  <si>
    <t>회사부담금</t>
  </si>
  <si>
    <t>가을여행비</t>
  </si>
  <si>
    <t>잡지출계</t>
  </si>
  <si>
    <t>예비비및기타</t>
  </si>
  <si>
    <t>일시전환금</t>
  </si>
  <si>
    <t>체육활동</t>
  </si>
  <si>
    <t>별빛누리그룹홈</t>
  </si>
  <si>
    <t>자산관리기관</t>
  </si>
  <si>
    <t>산재보험</t>
  </si>
  <si>
    <t>수용비및수수료</t>
  </si>
  <si>
    <t>고용보험</t>
  </si>
  <si>
    <t>물용품매각대</t>
  </si>
  <si>
    <t>계좌번호</t>
  </si>
  <si>
    <t>건강보험</t>
  </si>
  <si>
    <t>시설장비유지비</t>
  </si>
  <si>
    <t>위생재료비</t>
  </si>
  <si>
    <t>보조기관</t>
  </si>
  <si>
    <t>부담금종류</t>
  </si>
  <si>
    <t>명절휴가비</t>
  </si>
  <si>
    <t>비데렌탈비</t>
  </si>
  <si>
    <t>보조계정(목)</t>
  </si>
  <si>
    <t>납입주기</t>
  </si>
  <si>
    <t>국민연금</t>
  </si>
  <si>
    <t>부담금합계</t>
  </si>
  <si>
    <t>집기구입비</t>
  </si>
  <si>
    <t>보건복지부</t>
  </si>
  <si>
    <t>운영위원회</t>
  </si>
  <si>
    <t>증감사유</t>
  </si>
  <si>
    <t>가족수당</t>
  </si>
  <si>
    <t>수수료합계</t>
  </si>
  <si>
    <t>1-부담금</t>
  </si>
  <si>
    <t>특별부담금</t>
  </si>
  <si>
    <t>예금종류</t>
  </si>
  <si>
    <t>사무용품구입</t>
  </si>
  <si>
    <t>과년도수입</t>
  </si>
  <si>
    <t>생활재활교사</t>
  </si>
  <si>
    <t>입소자부담금</t>
  </si>
  <si>
    <t>수용기관경비</t>
  </si>
  <si>
    <t>◆ 공공요금</t>
  </si>
  <si>
    <t>자립지원사업비</t>
  </si>
  <si>
    <t>시도보조금</t>
  </si>
  <si>
    <t>제수당 계</t>
  </si>
  <si>
    <t xml:space="preserve"> 사무비계</t>
  </si>
  <si>
    <t>세   출</t>
  </si>
  <si>
    <t>차량수리비</t>
  </si>
  <si>
    <t>차량주유비</t>
  </si>
  <si>
    <t>공공요금</t>
  </si>
  <si>
    <t>가입자부담금</t>
  </si>
  <si>
    <t>◆ 회의비</t>
  </si>
  <si>
    <t>금액(원)</t>
  </si>
  <si>
    <t>적용개월</t>
  </si>
  <si>
    <t>여가활동사업비</t>
  </si>
  <si>
    <t>승강기유지비</t>
  </si>
  <si>
    <t>예치은행</t>
  </si>
  <si>
    <t>교육재활사업비</t>
  </si>
  <si>
    <t>운용관리기관</t>
  </si>
  <si>
    <t>전년도
이월액</t>
  </si>
  <si>
    <t>◆ 연료비</t>
  </si>
  <si>
    <t>부담금입금</t>
  </si>
  <si>
    <t>◆ 여비</t>
  </si>
  <si>
    <t>기타보조금</t>
  </si>
  <si>
    <t>입소자부식비</t>
  </si>
  <si>
    <t>입소비용수입</t>
  </si>
  <si>
    <t>합  계</t>
  </si>
  <si>
    <t>정수기렌탈료</t>
  </si>
  <si>
    <t>세   입</t>
  </si>
  <si>
    <t>채널유형</t>
  </si>
  <si>
    <t>홈페이지제작</t>
  </si>
  <si>
    <t>구  분</t>
  </si>
  <si>
    <t>숭강기유지비</t>
  </si>
  <si>
    <t>표준부담금</t>
  </si>
  <si>
    <t>보조금계</t>
  </si>
  <si>
    <t>자산취득비</t>
  </si>
  <si>
    <t>기관운영비</t>
  </si>
  <si>
    <t>기타잡수입</t>
  </si>
  <si>
    <t>자동차보험</t>
  </si>
  <si>
    <t xml:space="preserve"> 인건비계</t>
  </si>
  <si>
    <t>◆ 제세공과금</t>
  </si>
  <si>
    <t>입소자간식비</t>
  </si>
  <si>
    <t>주.부식비</t>
  </si>
  <si>
    <t>취사연료비</t>
  </si>
  <si>
    <t>1-월납</t>
  </si>
  <si>
    <t>보조금수입</t>
  </si>
  <si>
    <t>재산조성비</t>
  </si>
  <si>
    <t>2021.03.01. 
입사</t>
  </si>
  <si>
    <t>※ 보건복지가족부 0000년 00000 종사자 보수지급기준표 적용.</t>
  </si>
  <si>
    <t>예비비</t>
  </si>
  <si>
    <t>송년회</t>
  </si>
  <si>
    <t>9명</t>
  </si>
  <si>
    <t>5명</t>
  </si>
  <si>
    <t>항</t>
  </si>
  <si>
    <t>사업비</t>
  </si>
  <si>
    <t>예금</t>
  </si>
  <si>
    <t>여비</t>
  </si>
  <si>
    <t>6회</t>
  </si>
  <si>
    <t>목</t>
  </si>
  <si>
    <t>합 계</t>
  </si>
  <si>
    <t>관</t>
  </si>
  <si>
    <t>급여</t>
  </si>
  <si>
    <t>직책</t>
  </si>
  <si>
    <t>이애경</t>
  </si>
  <si>
    <t/>
  </si>
  <si>
    <t>농협</t>
  </si>
  <si>
    <t>소계</t>
  </si>
  <si>
    <t>사무비</t>
  </si>
  <si>
    <t>1월</t>
  </si>
  <si>
    <t>3개월</t>
  </si>
  <si>
    <t>순번</t>
  </si>
  <si>
    <t>제수당</t>
  </si>
  <si>
    <t>반환금</t>
  </si>
  <si>
    <t>재원</t>
  </si>
  <si>
    <t>`</t>
  </si>
  <si>
    <t>피복비</t>
  </si>
  <si>
    <t>DC</t>
  </si>
  <si>
    <t>승급월</t>
  </si>
  <si>
    <t>법인</t>
  </si>
  <si>
    <t>과목</t>
  </si>
  <si>
    <t>비고</t>
  </si>
  <si>
    <t>0원</t>
  </si>
  <si>
    <t>10회</t>
  </si>
  <si>
    <t>20</t>
  </si>
  <si>
    <t>후원금</t>
  </si>
  <si>
    <t>2명</t>
  </si>
  <si>
    <t>8개월</t>
  </si>
  <si>
    <t>제도</t>
  </si>
  <si>
    <t>이월금</t>
  </si>
  <si>
    <t>유봉상</t>
  </si>
  <si>
    <t>전입금</t>
  </si>
  <si>
    <t>보조금</t>
  </si>
  <si>
    <t>1회</t>
  </si>
  <si>
    <t>4회</t>
  </si>
  <si>
    <t>호봉</t>
  </si>
  <si>
    <t>총합계</t>
  </si>
  <si>
    <t>납입계</t>
  </si>
  <si>
    <t>시설비</t>
  </si>
  <si>
    <t>4월</t>
  </si>
  <si>
    <t>합계</t>
  </si>
  <si>
    <t>회의비</t>
  </si>
  <si>
    <t>우편료</t>
  </si>
  <si>
    <t>21</t>
  </si>
  <si>
    <t>수수료</t>
  </si>
  <si>
    <t>×</t>
  </si>
  <si>
    <t>인건비</t>
  </si>
  <si>
    <t>차량비</t>
  </si>
  <si>
    <t>잡지출</t>
  </si>
  <si>
    <t>12월</t>
  </si>
  <si>
    <t>계</t>
  </si>
  <si>
    <t>운영비</t>
  </si>
  <si>
    <t>=</t>
  </si>
  <si>
    <t>구분</t>
  </si>
  <si>
    <t>시설장</t>
  </si>
  <si>
    <t>1명</t>
  </si>
  <si>
    <t>연료비</t>
  </si>
  <si>
    <t>자부담</t>
  </si>
  <si>
    <t>잡수입</t>
  </si>
  <si>
    <t>성명</t>
  </si>
  <si>
    <t>의료비</t>
  </si>
  <si>
    <t>생계비</t>
  </si>
  <si>
    <t>7종 운영비지원사업</t>
  </si>
  <si>
    <t>8월 퇴직적립금</t>
  </si>
  <si>
    <t>◆ 차년도이월금</t>
  </si>
  <si>
    <t>전년도이월금(보조금)</t>
  </si>
  <si>
    <t>지역 명절 선물비</t>
  </si>
  <si>
    <t>자동차세및각종세금</t>
  </si>
  <si>
    <t>4월 퇴직적립금</t>
  </si>
  <si>
    <t>4종 운영지원사업</t>
  </si>
  <si>
    <t>◆ 수용기관경비</t>
  </si>
  <si>
    <t>◆ 환경개선사업</t>
  </si>
  <si>
    <t>기타예금이자수입</t>
  </si>
  <si>
    <t>◆ 사회보험부담비용</t>
  </si>
  <si>
    <t>사무비(인건비)</t>
  </si>
  <si>
    <t>3년평가자료제본</t>
  </si>
  <si>
    <t>입소자특별급식비</t>
  </si>
  <si>
    <t>소방시설
종합점검비</t>
  </si>
  <si>
    <t>사회편의시설
이용료</t>
  </si>
  <si>
    <t>B088-신한은행</t>
  </si>
  <si>
    <t>4종 운영지원비</t>
  </si>
  <si>
    <t>◆ 퇴직금및퇴직적립금</t>
  </si>
  <si>
    <t>노인장기요양보험</t>
  </si>
  <si>
    <t>◆ 권익증진교육</t>
  </si>
  <si>
    <t>입소자건강검진비</t>
  </si>
  <si>
    <t>◆ 자립지원사업</t>
  </si>
  <si>
    <t>◆ 지역사회교류사업</t>
  </si>
  <si>
    <t>10월 퇴직적립금</t>
  </si>
  <si>
    <t>초기입금예정일자</t>
  </si>
  <si>
    <t>종사자 제수당 조율</t>
  </si>
  <si>
    <t>2020-07-25</t>
  </si>
  <si>
    <t>◆ 4종 운영지원사업</t>
  </si>
  <si>
    <t>◆ 여가활동사업</t>
  </si>
  <si>
    <t>전년도이월금(자부담)</t>
  </si>
  <si>
    <t>9월 퇴직적립금</t>
  </si>
  <si>
    <t>사온 7종 운영비</t>
  </si>
  <si>
    <t>사업비(운영비)</t>
  </si>
  <si>
    <t>6월 퇴직적립금</t>
  </si>
  <si>
    <t>◆ 수용비및수수료</t>
  </si>
  <si>
    <t>당해년도 증가액</t>
  </si>
  <si>
    <t>5월 퇴직적립금</t>
  </si>
  <si>
    <t>12월 퇴직연금</t>
  </si>
  <si>
    <t>3월 퇴직적립금</t>
  </si>
  <si>
    <t>경기도
특수근무수당</t>
  </si>
  <si>
    <t>◆ 시설장비유지비</t>
  </si>
  <si>
    <t>7종 환경개선사업비</t>
  </si>
  <si>
    <t>누      계</t>
  </si>
  <si>
    <t>사무비(운영비)</t>
  </si>
  <si>
    <t>11월 퇴직적립금</t>
  </si>
  <si>
    <t>(단위 : 원)</t>
  </si>
  <si>
    <t>2020-08-25</t>
  </si>
  <si>
    <t>경기도
처우개선비</t>
  </si>
  <si>
    <t>◆ 기타후생경비</t>
  </si>
  <si>
    <t>7월 퇴직적립금</t>
  </si>
  <si>
    <t>종합안전배상책임보험</t>
  </si>
  <si>
    <t>당해년도
감소액</t>
  </si>
  <si>
    <t>사회보험부담비용</t>
  </si>
  <si>
    <t>퇴직보험신탁전환금</t>
  </si>
  <si>
    <t>1-단말기(직납)</t>
  </si>
  <si>
    <t>지자체 별도 지급액</t>
  </si>
  <si>
    <t>2022.09.30.</t>
  </si>
  <si>
    <t>2월 퇴직적립금</t>
  </si>
  <si>
    <t>사업비(사업비)</t>
  </si>
  <si>
    <t>라온
생활재활교사</t>
  </si>
  <si>
    <t>전년도이월금(후원금)</t>
  </si>
  <si>
    <t>전기,전화,수도</t>
  </si>
  <si>
    <t>1월 퇴직적립금</t>
  </si>
  <si>
    <t>4분기 별빛라온 4종 입소자특별급식비</t>
  </si>
  <si>
    <t>3분기 별빛라온 4종 입소자특별급식비</t>
  </si>
  <si>
    <t>2분기 별빛라온 4종 입소자특별급식비</t>
  </si>
  <si>
    <t>4분기 별빛라온 4종 입소자건강검진비</t>
  </si>
  <si>
    <t>자립지원 프로그램 미참석으로 인해 미지출</t>
  </si>
  <si>
    <t>1분기 별빛라온 4종 입소자특별급식비</t>
  </si>
  <si>
    <t>◆운영비보조금 반납 4,066,171원</t>
  </si>
  <si>
    <t>과                  목</t>
  </si>
  <si>
    <t>정원 대비 입소자 미달로 인해 공과금 감소</t>
  </si>
  <si>
    <t>아. 퇴직충당금 명세서(퇴직연금)-라온</t>
  </si>
  <si>
    <t>프로그램 진행 변경으로 인해 지출액 감액</t>
  </si>
  <si>
    <t>* 2022년 운영비 보조금 반환 원 절사 수입</t>
  </si>
  <si>
    <t>정원 대비 입소자 미달로 인해 생계비 지출 감액</t>
  </si>
  <si>
    <t>자. 퇴직금 불입내역서 및 잔액증명서(라온)</t>
  </si>
  <si>
    <t xml:space="preserve">▶ 1명*350,000원*2개월=   700,000원
▶ 1명*400,000원*1개월=   400,000원
▶ 1명*400,000원*2개월=   800,000원
▶ 2명*400,000원*7개월=5,600,000원
▶ 1명*400,000원*8개월=3,200,000원   </t>
  </si>
  <si>
    <t>* 운영비 95,400,000원(인건비 85,000,000원, 관리운영비 10,400,000원)
* 4종 운영비 862,500원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</si>
</sst>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#&quot;원&quot;"/>
    <numFmt numFmtId="179" formatCode="0.00_ "/>
    <numFmt numFmtId="180" formatCode="#,##0.00_ "/>
    <numFmt numFmtId="181" formatCode="##&quot;월&quot;"/>
    <numFmt numFmtId="182" formatCode="##&quot;명&quot;"/>
    <numFmt numFmtId="183" formatCode="0.0%"/>
    <numFmt numFmtId="184" formatCode="0.000%"/>
    <numFmt numFmtId="185" formatCode="##.0&quot;시간&quot;"/>
    <numFmt numFmtId="186" formatCode="##&quot;회&quot;"/>
    <numFmt numFmtId="187" formatCode="###,##0"/>
  </numFmts>
  <fonts count="42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0"/>
      <color rgb="FF000000"/>
      <name val="Helv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9"/>
      <color rgb="FF000000"/>
      <name val="HY그래픽"/>
      <family val="1"/>
      <charset val="129"/>
    </font>
    <font>
      <sz val="8"/>
      <color rgb="FF000000"/>
      <name val="HY그래픽"/>
      <family val="1"/>
      <charset val="129"/>
    </font>
    <font>
      <sz val="7"/>
      <color rgb="FF000000"/>
      <name val="HY그래픽"/>
      <family val="1"/>
      <charset val="129"/>
    </font>
    <font>
      <b/>
      <sz val="16"/>
      <color rgb="FF000000"/>
      <name val="HY그래픽"/>
      <family val="1"/>
      <charset val="129"/>
    </font>
    <font>
      <b/>
      <sz val="12"/>
      <color rgb="FF000000"/>
      <name val="HY그래픽"/>
      <family val="1"/>
      <charset val="129"/>
    </font>
    <font>
      <sz val="12"/>
      <color rgb="FF000000"/>
      <name val="HY그래픽"/>
      <family val="1"/>
      <charset val="129"/>
    </font>
    <font>
      <b/>
      <sz val="7"/>
      <color rgb="FF000000"/>
      <name val="HY그래픽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HY그래픽"/>
      <family val="1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HY그래픽"/>
      <family val="1"/>
      <charset val="129"/>
    </font>
    <font>
      <b/>
      <sz val="9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sz val="9"/>
      <color rgb="FFFF0000"/>
      <name val="HY그래픽"/>
      <family val="1"/>
      <charset val="129"/>
    </font>
    <font>
      <b/>
      <sz val="8"/>
      <color rgb="FF000000"/>
      <name val="HY그래픽"/>
      <family val="1"/>
      <charset val="129"/>
    </font>
    <font>
      <b/>
      <sz val="10"/>
      <color rgb="FF000000"/>
      <name val="HY그래픽"/>
      <family val="1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9"/>
      <color rgb="FF286892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Arial"/>
      <family val="2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4"/>
      <color rgb="FF000000"/>
      <name val="굴림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F3DCDB"/>
        <bgColor rgb="FFFFFF99"/>
      </patternFill>
    </fill>
  </fills>
  <borders count="19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8">
    <xf numFmtId="0" fontId="0" fillId="0" borderId="0">
      <alignment vertical="center"/>
    </xf>
    <xf numFmtId="41" fontId="40" fillId="0" borderId="0">
      <alignment vertical="center"/>
    </xf>
    <xf numFmtId="42" fontId="40" fillId="0" borderId="0">
      <alignment vertical="center"/>
    </xf>
    <xf numFmtId="41" fontId="40" fillId="0" borderId="0"/>
    <xf numFmtId="41" fontId="40" fillId="0" borderId="0"/>
    <xf numFmtId="0" fontId="1" fillId="0" borderId="0"/>
    <xf numFmtId="0" fontId="2" fillId="0" borderId="0"/>
    <xf numFmtId="41" fontId="3" fillId="0" borderId="0">
      <alignment vertical="center"/>
    </xf>
  </cellStyleXfs>
  <cellXfs count="1123">
    <xf numFmtId="0" fontId="0" fillId="0" borderId="0" xfId="0" applyNumberFormat="1" applyAlignment="1"/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41" fontId="5" fillId="0" borderId="0" xfId="1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shrinkToFit="1"/>
    </xf>
    <xf numFmtId="0" fontId="6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176" fontId="5" fillId="0" borderId="0" xfId="0" applyNumberFormat="1" applyFont="1" applyBorder="1" applyAlignment="1">
      <alignment vertical="center" shrinkToFit="1"/>
    </xf>
    <xf numFmtId="41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3" fontId="8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left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176" fontId="9" fillId="0" borderId="8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10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0" fillId="0" borderId="0" xfId="0" applyNumberFormat="1" applyAlignment="1"/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5" fillId="0" borderId="11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vertical="center"/>
    </xf>
    <xf numFmtId="176" fontId="12" fillId="0" borderId="12" xfId="4" applyNumberFormat="1" applyFont="1" applyBorder="1" applyAlignment="1">
      <alignment horizontal="right" vertical="center" shrinkToFit="1"/>
    </xf>
    <xf numFmtId="42" fontId="13" fillId="0" borderId="0" xfId="2" applyNumberFormat="1" applyFont="1" applyFill="1" applyAlignment="1">
      <alignment vertical="center"/>
    </xf>
    <xf numFmtId="41" fontId="13" fillId="0" borderId="0" xfId="1" applyNumberFormat="1" applyFont="1" applyFill="1" applyAlignment="1">
      <alignment vertical="center"/>
    </xf>
    <xf numFmtId="42" fontId="13" fillId="0" borderId="0" xfId="2" applyNumberFormat="1" applyFont="1" applyFill="1" applyAlignment="1">
      <alignment horizontal="center" vertical="center"/>
    </xf>
    <xf numFmtId="41" fontId="13" fillId="2" borderId="13" xfId="1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/>
    </xf>
    <xf numFmtId="41" fontId="13" fillId="0" borderId="14" xfId="0" applyNumberFormat="1" applyFont="1" applyBorder="1" applyAlignment="1">
      <alignment horizontal="right" vertical="center"/>
    </xf>
    <xf numFmtId="41" fontId="13" fillId="0" borderId="13" xfId="0" applyNumberFormat="1" applyFont="1" applyBorder="1" applyAlignment="1">
      <alignment horizontal="right" vertical="center"/>
    </xf>
    <xf numFmtId="41" fontId="13" fillId="0" borderId="13" xfId="1" applyNumberFormat="1" applyFont="1" applyFill="1" applyBorder="1" applyAlignment="1">
      <alignment vertical="center"/>
    </xf>
    <xf numFmtId="41" fontId="13" fillId="3" borderId="13" xfId="1" applyNumberFormat="1" applyFont="1" applyFill="1" applyBorder="1" applyAlignment="1">
      <alignment vertical="center"/>
    </xf>
    <xf numFmtId="42" fontId="13" fillId="0" borderId="13" xfId="2" applyNumberFormat="1" applyFont="1" applyFill="1" applyBorder="1" applyAlignment="1">
      <alignment horizontal="center" vertical="center"/>
    </xf>
    <xf numFmtId="42" fontId="13" fillId="4" borderId="13" xfId="2" applyNumberFormat="1" applyFont="1" applyFill="1" applyBorder="1" applyAlignment="1">
      <alignment horizontal="center" vertical="center"/>
    </xf>
    <xf numFmtId="0" fontId="13" fillId="5" borderId="13" xfId="0" applyNumberFormat="1" applyFont="1" applyFill="1" applyBorder="1" applyAlignment="1">
      <alignment horizontal="center" vertical="center"/>
    </xf>
    <xf numFmtId="41" fontId="13" fillId="5" borderId="14" xfId="0" applyNumberFormat="1" applyFont="1" applyFill="1" applyBorder="1" applyAlignment="1">
      <alignment horizontal="right" vertical="center"/>
    </xf>
    <xf numFmtId="41" fontId="13" fillId="5" borderId="13" xfId="1" applyNumberFormat="1" applyFont="1" applyFill="1" applyBorder="1" applyAlignment="1">
      <alignment vertical="center"/>
    </xf>
    <xf numFmtId="41" fontId="10" fillId="0" borderId="0" xfId="4" applyNumberFormat="1" applyFont="1" applyBorder="1" applyAlignment="1">
      <alignment horizontal="center" vertical="center"/>
    </xf>
    <xf numFmtId="42" fontId="14" fillId="0" borderId="0" xfId="2" applyNumberFormat="1" applyFont="1" applyFill="1" applyAlignment="1">
      <alignment horizontal="left" vertical="center"/>
    </xf>
    <xf numFmtId="41" fontId="10" fillId="0" borderId="15" xfId="1" applyNumberFormat="1" applyFont="1" applyBorder="1" applyAlignment="1">
      <alignment vertical="center"/>
    </xf>
    <xf numFmtId="176" fontId="15" fillId="0" borderId="0" xfId="0" applyNumberFormat="1" applyFont="1" applyAlignment="1">
      <alignment vertical="center" wrapText="1"/>
    </xf>
    <xf numFmtId="41" fontId="10" fillId="0" borderId="0" xfId="4" applyNumberFormat="1" applyFont="1" applyBorder="1" applyAlignment="1">
      <alignment vertical="center"/>
    </xf>
    <xf numFmtId="42" fontId="16" fillId="0" borderId="15" xfId="2" applyNumberFormat="1" applyFont="1" applyFill="1" applyBorder="1" applyAlignment="1">
      <alignment vertical="center"/>
    </xf>
    <xf numFmtId="42" fontId="14" fillId="0" borderId="15" xfId="2" applyNumberFormat="1" applyFont="1" applyFill="1" applyBorder="1" applyAlignment="1">
      <alignment vertical="center"/>
    </xf>
    <xf numFmtId="41" fontId="17" fillId="0" borderId="15" xfId="1" applyNumberFormat="1" applyFont="1" applyBorder="1" applyAlignment="1">
      <alignment vertical="center"/>
    </xf>
    <xf numFmtId="41" fontId="13" fillId="0" borderId="16" xfId="1" applyNumberFormat="1" applyFont="1" applyFill="1" applyBorder="1" applyAlignment="1">
      <alignment horizontal="center" vertical="center"/>
    </xf>
    <xf numFmtId="41" fontId="17" fillId="0" borderId="15" xfId="1" applyNumberFormat="1" applyFont="1" applyBorder="1" applyAlignment="1">
      <alignment horizontal="center" vertical="center"/>
    </xf>
    <xf numFmtId="41" fontId="17" fillId="0" borderId="15" xfId="1" applyNumberFormat="1" applyFont="1" applyBorder="1" applyAlignment="1">
      <alignment horizontal="center" vertical="center" shrinkToFit="1"/>
    </xf>
    <xf numFmtId="176" fontId="17" fillId="0" borderId="15" xfId="1" applyNumberFormat="1" applyFont="1" applyBorder="1" applyAlignment="1">
      <alignment horizontal="center" vertical="center" shrinkToFit="1"/>
    </xf>
    <xf numFmtId="0" fontId="18" fillId="0" borderId="15" xfId="1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vertical="center"/>
    </xf>
    <xf numFmtId="0" fontId="5" fillId="0" borderId="15" xfId="0" applyNumberFormat="1" applyFont="1" applyBorder="1" applyAlignment="1">
      <alignment horizontal="right" vertical="center"/>
    </xf>
    <xf numFmtId="0" fontId="13" fillId="0" borderId="13" xfId="0" applyNumberFormat="1" applyFont="1" applyBorder="1" applyAlignment="1">
      <alignment vertical="center"/>
    </xf>
    <xf numFmtId="0" fontId="13" fillId="0" borderId="13" xfId="0" applyNumberFormat="1" applyFont="1" applyFill="1" applyBorder="1" applyAlignment="1">
      <alignment vertical="center"/>
    </xf>
    <xf numFmtId="41" fontId="13" fillId="0" borderId="16" xfId="1" applyNumberFormat="1" applyFont="1" applyFill="1" applyBorder="1" applyAlignment="1">
      <alignment vertical="center"/>
    </xf>
    <xf numFmtId="41" fontId="5" fillId="0" borderId="17" xfId="1" applyNumberFormat="1" applyFont="1" applyBorder="1" applyAlignment="1">
      <alignment horizontal="right" vertical="center" shrinkToFit="1"/>
    </xf>
    <xf numFmtId="41" fontId="5" fillId="0" borderId="9" xfId="1" applyNumberFormat="1" applyFont="1" applyBorder="1" applyAlignment="1">
      <alignment horizontal="right" vertical="center" shrinkToFit="1"/>
    </xf>
    <xf numFmtId="41" fontId="5" fillId="6" borderId="18" xfId="1" applyNumberFormat="1" applyFont="1" applyFill="1" applyBorder="1" applyAlignment="1">
      <alignment horizontal="right" vertical="center" shrinkToFit="1"/>
    </xf>
    <xf numFmtId="41" fontId="5" fillId="7" borderId="17" xfId="1" applyNumberFormat="1" applyFont="1" applyFill="1" applyBorder="1" applyAlignment="1">
      <alignment horizontal="right" vertical="center" shrinkToFit="1"/>
    </xf>
    <xf numFmtId="41" fontId="5" fillId="0" borderId="17" xfId="0" applyNumberFormat="1" applyFont="1" applyFill="1" applyBorder="1" applyAlignment="1">
      <alignment horizontal="right" vertical="center" shrinkToFit="1"/>
    </xf>
    <xf numFmtId="41" fontId="5" fillId="6" borderId="17" xfId="0" applyNumberFormat="1" applyFont="1" applyFill="1" applyBorder="1" applyAlignment="1">
      <alignment horizontal="right" vertical="center" shrinkToFit="1"/>
    </xf>
    <xf numFmtId="41" fontId="5" fillId="7" borderId="17" xfId="0" applyNumberFormat="1" applyFont="1" applyFill="1" applyBorder="1" applyAlignment="1">
      <alignment horizontal="right" vertical="center" shrinkToFit="1"/>
    </xf>
    <xf numFmtId="41" fontId="5" fillId="0" borderId="17" xfId="0" applyNumberFormat="1" applyFont="1" applyBorder="1" applyAlignment="1">
      <alignment horizontal="right" vertical="center" shrinkToFit="1"/>
    </xf>
    <xf numFmtId="41" fontId="5" fillId="6" borderId="17" xfId="1" applyNumberFormat="1" applyFont="1" applyFill="1" applyBorder="1" applyAlignment="1">
      <alignment horizontal="right" vertical="center" shrinkToFit="1"/>
    </xf>
    <xf numFmtId="41" fontId="5" fillId="0" borderId="17" xfId="0" applyNumberFormat="1" applyFont="1" applyBorder="1" applyAlignment="1">
      <alignment vertical="center"/>
    </xf>
    <xf numFmtId="41" fontId="5" fillId="0" borderId="17" xfId="1" applyNumberFormat="1" applyFont="1" applyBorder="1" applyAlignment="1">
      <alignment horizontal="right" vertical="center" shrinkToFit="1"/>
    </xf>
    <xf numFmtId="41" fontId="5" fillId="0" borderId="17" xfId="0" applyNumberFormat="1" applyFont="1" applyBorder="1" applyAlignment="1">
      <alignment horizontal="right" vertical="center"/>
    </xf>
    <xf numFmtId="41" fontId="5" fillId="6" borderId="17" xfId="0" applyNumberFormat="1" applyFont="1" applyFill="1" applyBorder="1" applyAlignment="1">
      <alignment horizontal="right" vertical="center"/>
    </xf>
    <xf numFmtId="41" fontId="5" fillId="7" borderId="17" xfId="0" applyNumberFormat="1" applyFont="1" applyFill="1" applyBorder="1" applyAlignment="1">
      <alignment horizontal="right" vertical="center"/>
    </xf>
    <xf numFmtId="41" fontId="5" fillId="0" borderId="19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41" fontId="5" fillId="0" borderId="0" xfId="1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41" fontId="19" fillId="0" borderId="0" xfId="1" applyNumberFormat="1" applyFont="1" applyBorder="1" applyAlignment="1">
      <alignment horizontal="left" vertical="center"/>
    </xf>
    <xf numFmtId="41" fontId="17" fillId="0" borderId="15" xfId="1" applyNumberFormat="1" applyFont="1" applyBorder="1" applyAlignment="1">
      <alignment vertical="center"/>
    </xf>
    <xf numFmtId="41" fontId="5" fillId="0" borderId="15" xfId="1" applyNumberFormat="1" applyFont="1" applyBorder="1" applyAlignment="1">
      <alignment horizontal="right" vertical="center"/>
    </xf>
    <xf numFmtId="41" fontId="17" fillId="0" borderId="0" xfId="1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shrinkToFit="1"/>
    </xf>
    <xf numFmtId="177" fontId="5" fillId="0" borderId="0" xfId="0" applyNumberFormat="1" applyFont="1" applyBorder="1" applyAlignment="1">
      <alignment horizontal="right" vertical="center" shrinkToFit="1"/>
    </xf>
    <xf numFmtId="3" fontId="6" fillId="0" borderId="0" xfId="0" applyNumberFormat="1" applyFont="1" applyBorder="1" applyAlignment="1">
      <alignment vertical="center"/>
    </xf>
    <xf numFmtId="0" fontId="8" fillId="7" borderId="17" xfId="0" applyNumberFormat="1" applyFont="1" applyFill="1" applyBorder="1" applyAlignment="1">
      <alignment horizontal="center" vertical="center" shrinkToFit="1"/>
    </xf>
    <xf numFmtId="0" fontId="8" fillId="0" borderId="17" xfId="0" applyNumberFormat="1" applyFont="1" applyFill="1" applyBorder="1" applyAlignment="1">
      <alignment horizontal="center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0" fontId="8" fillId="6" borderId="17" xfId="0" applyNumberFormat="1" applyFont="1" applyFill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center" vertical="center" shrinkToFit="1"/>
    </xf>
    <xf numFmtId="0" fontId="0" fillId="0" borderId="0" xfId="0" applyNumberFormat="1" applyFont="1" applyBorder="1" applyAlignment="1">
      <alignment vertical="center" shrinkToFit="1"/>
    </xf>
    <xf numFmtId="0" fontId="8" fillId="0" borderId="17" xfId="0" applyNumberFormat="1" applyFont="1" applyBorder="1" applyAlignment="1">
      <alignment horizontal="center" vertical="center"/>
    </xf>
    <xf numFmtId="0" fontId="8" fillId="6" borderId="17" xfId="0" applyNumberFormat="1" applyFont="1" applyFill="1" applyBorder="1" applyAlignment="1">
      <alignment horizontal="center" vertical="center"/>
    </xf>
    <xf numFmtId="0" fontId="8" fillId="7" borderId="17" xfId="0" applyNumberFormat="1" applyFont="1" applyFill="1" applyBorder="1" applyAlignment="1">
      <alignment horizontal="center" vertical="center"/>
    </xf>
    <xf numFmtId="41" fontId="4" fillId="0" borderId="0" xfId="0" applyNumberFormat="1" applyFont="1" applyBorder="1" applyAlignment="1">
      <alignment horizontal="center" vertical="center"/>
    </xf>
    <xf numFmtId="41" fontId="17" fillId="0" borderId="15" xfId="1" applyNumberFormat="1" applyFont="1" applyBorder="1" applyAlignment="1">
      <alignment horizontal="center" vertical="center"/>
    </xf>
    <xf numFmtId="41" fontId="5" fillId="0" borderId="21" xfId="1" applyNumberFormat="1" applyFont="1" applyBorder="1" applyAlignment="1">
      <alignment vertical="center" shrinkToFit="1"/>
    </xf>
    <xf numFmtId="41" fontId="5" fillId="0" borderId="17" xfId="0" applyNumberFormat="1" applyFont="1" applyBorder="1" applyAlignment="1">
      <alignment vertical="center" shrinkToFit="1"/>
    </xf>
    <xf numFmtId="41" fontId="5" fillId="0" borderId="17" xfId="0" applyNumberFormat="1" applyFont="1" applyFill="1" applyBorder="1" applyAlignment="1">
      <alignment vertical="center" shrinkToFit="1"/>
    </xf>
    <xf numFmtId="9" fontId="6" fillId="0" borderId="22" xfId="0" applyNumberFormat="1" applyFont="1" applyFill="1" applyBorder="1" applyAlignment="1">
      <alignment horizontal="center" vertical="center" shrinkToFit="1"/>
    </xf>
    <xf numFmtId="9" fontId="6" fillId="0" borderId="17" xfId="0" applyNumberFormat="1" applyFont="1" applyFill="1" applyBorder="1" applyAlignment="1">
      <alignment horizontal="center" vertical="center" shrinkToFit="1"/>
    </xf>
    <xf numFmtId="9" fontId="6" fillId="0" borderId="22" xfId="0" applyNumberFormat="1" applyFont="1" applyBorder="1" applyAlignment="1">
      <alignment horizontal="center" vertical="center" shrinkToFit="1"/>
    </xf>
    <xf numFmtId="9" fontId="6" fillId="0" borderId="17" xfId="0" applyNumberFormat="1" applyFont="1" applyBorder="1" applyAlignment="1">
      <alignment horizontal="center" vertical="center" shrinkToFit="1"/>
    </xf>
    <xf numFmtId="9" fontId="20" fillId="0" borderId="17" xfId="0" applyNumberFormat="1" applyFont="1" applyFill="1" applyBorder="1" applyAlignment="1">
      <alignment horizontal="center" vertical="center" shrinkToFit="1"/>
    </xf>
    <xf numFmtId="9" fontId="6" fillId="6" borderId="23" xfId="0" applyNumberFormat="1" applyFont="1" applyFill="1" applyBorder="1" applyAlignment="1">
      <alignment horizontal="center" vertical="center" shrinkToFit="1"/>
    </xf>
    <xf numFmtId="9" fontId="6" fillId="6" borderId="24" xfId="0" applyNumberFormat="1" applyFont="1" applyFill="1" applyBorder="1" applyAlignment="1">
      <alignment horizontal="center" vertical="center" shrinkToFit="1"/>
    </xf>
    <xf numFmtId="41" fontId="5" fillId="6" borderId="24" xfId="1" applyNumberFormat="1" applyFont="1" applyFill="1" applyBorder="1" applyAlignment="1">
      <alignment vertical="center" shrinkToFit="1"/>
    </xf>
    <xf numFmtId="176" fontId="5" fillId="6" borderId="0" xfId="0" applyNumberFormat="1" applyFont="1" applyFill="1" applyBorder="1" applyAlignment="1">
      <alignment vertical="center" shrinkToFit="1"/>
    </xf>
    <xf numFmtId="9" fontId="6" fillId="7" borderId="17" xfId="0" applyNumberFormat="1" applyFont="1" applyFill="1" applyBorder="1" applyAlignment="1">
      <alignment horizontal="center" vertical="center" shrinkToFit="1"/>
    </xf>
    <xf numFmtId="41" fontId="5" fillId="7" borderId="17" xfId="1" applyNumberFormat="1" applyFont="1" applyFill="1" applyBorder="1" applyAlignment="1">
      <alignment vertical="center" shrinkToFit="1"/>
    </xf>
    <xf numFmtId="41" fontId="5" fillId="0" borderId="0" xfId="0" applyNumberFormat="1" applyFont="1" applyBorder="1" applyAlignment="1">
      <alignment vertical="center" shrinkToFit="1"/>
    </xf>
    <xf numFmtId="41" fontId="17" fillId="0" borderId="15" xfId="1" applyNumberFormat="1" applyFont="1" applyBorder="1" applyAlignment="1">
      <alignment horizontal="center" vertical="center" shrinkToFi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22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 shrinkToFit="1"/>
    </xf>
    <xf numFmtId="0" fontId="6" fillId="7" borderId="17" xfId="0" applyNumberFormat="1" applyFont="1" applyFill="1" applyBorder="1" applyAlignment="1">
      <alignment horizontal="center" vertical="center"/>
    </xf>
    <xf numFmtId="0" fontId="6" fillId="7" borderId="17" xfId="0" applyNumberFormat="1" applyFont="1" applyFill="1" applyBorder="1" applyAlignment="1">
      <alignment horizontal="center" vertical="center" shrinkToFit="1"/>
    </xf>
    <xf numFmtId="41" fontId="5" fillId="7" borderId="17" xfId="0" applyNumberFormat="1" applyFont="1" applyFill="1" applyBorder="1" applyAlignment="1">
      <alignment vertical="center" shrinkToFit="1"/>
    </xf>
    <xf numFmtId="0" fontId="6" fillId="6" borderId="22" xfId="0" applyNumberFormat="1" applyFont="1" applyFill="1" applyBorder="1" applyAlignment="1">
      <alignment horizontal="center" vertical="center"/>
    </xf>
    <xf numFmtId="0" fontId="6" fillId="6" borderId="17" xfId="0" applyNumberFormat="1" applyFont="1" applyFill="1" applyBorder="1" applyAlignment="1">
      <alignment horizontal="center" vertical="center"/>
    </xf>
    <xf numFmtId="0" fontId="6" fillId="6" borderId="17" xfId="0" applyNumberFormat="1" applyFont="1" applyFill="1" applyBorder="1" applyAlignment="1">
      <alignment horizontal="center" vertical="center" shrinkToFit="1"/>
    </xf>
    <xf numFmtId="41" fontId="5" fillId="6" borderId="17" xfId="0" applyNumberFormat="1" applyFont="1" applyFill="1" applyBorder="1" applyAlignment="1">
      <alignment vertical="center" shrinkToFit="1"/>
    </xf>
    <xf numFmtId="176" fontId="5" fillId="0" borderId="0" xfId="1" applyNumberFormat="1" applyFont="1" applyFill="1" applyBorder="1" applyAlignment="1">
      <alignment horizontal="right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176" fontId="5" fillId="7" borderId="25" xfId="0" applyNumberFormat="1" applyFont="1" applyFill="1" applyBorder="1" applyAlignment="1">
      <alignment vertical="center" shrinkToFit="1"/>
    </xf>
    <xf numFmtId="176" fontId="5" fillId="6" borderId="25" xfId="0" applyNumberFormat="1" applyFont="1" applyFill="1" applyBorder="1" applyAlignment="1">
      <alignment vertical="center" shrinkToFit="1"/>
    </xf>
    <xf numFmtId="176" fontId="5" fillId="7" borderId="26" xfId="1" applyNumberFormat="1" applyFont="1" applyFill="1" applyBorder="1" applyAlignment="1">
      <alignment horizontal="right" vertical="center" shrinkToFit="1"/>
    </xf>
    <xf numFmtId="41" fontId="5" fillId="0" borderId="17" xfId="0" applyNumberFormat="1" applyFont="1" applyBorder="1" applyAlignment="1">
      <alignment horizontal="center" vertical="center"/>
    </xf>
    <xf numFmtId="41" fontId="5" fillId="7" borderId="17" xfId="0" applyNumberFormat="1" applyFont="1" applyFill="1" applyBorder="1" applyAlignment="1">
      <alignment horizontal="center" vertical="center"/>
    </xf>
    <xf numFmtId="41" fontId="5" fillId="6" borderId="17" xfId="0" applyNumberFormat="1" applyFont="1" applyFill="1" applyBorder="1" applyAlignment="1">
      <alignment horizontal="center" vertical="center"/>
    </xf>
    <xf numFmtId="41" fontId="5" fillId="0" borderId="0" xfId="0" applyNumberFormat="1" applyFont="1" applyBorder="1" applyAlignment="1">
      <alignment vertical="center"/>
    </xf>
    <xf numFmtId="41" fontId="5" fillId="0" borderId="0" xfId="0" applyNumberFormat="1" applyFont="1" applyBorder="1" applyAlignment="1">
      <alignment horizontal="right" vertical="center"/>
    </xf>
    <xf numFmtId="41" fontId="17" fillId="0" borderId="15" xfId="1" applyNumberFormat="1" applyFont="1" applyBorder="1" applyAlignment="1">
      <alignment horizontal="right" vertical="center"/>
    </xf>
    <xf numFmtId="41" fontId="4" fillId="0" borderId="0" xfId="0" applyNumberFormat="1" applyFont="1" applyBorder="1" applyAlignment="1">
      <alignment horizontal="center" vertical="center"/>
    </xf>
    <xf numFmtId="41" fontId="5" fillId="0" borderId="0" xfId="0" applyNumberFormat="1" applyFont="1" applyBorder="1" applyAlignment="1">
      <alignment vertical="center"/>
    </xf>
    <xf numFmtId="41" fontId="5" fillId="0" borderId="0" xfId="1" applyNumberFormat="1" applyFont="1" applyBorder="1" applyAlignment="1">
      <alignment vertical="center"/>
    </xf>
    <xf numFmtId="41" fontId="17" fillId="0" borderId="15" xfId="1" applyNumberFormat="1" applyFont="1" applyBorder="1" applyAlignment="1">
      <alignment vertical="center"/>
    </xf>
    <xf numFmtId="41" fontId="5" fillId="0" borderId="17" xfId="1" applyNumberFormat="1" applyFont="1" applyFill="1" applyBorder="1" applyAlignment="1">
      <alignment horizontal="right" vertical="center" shrinkToFit="1"/>
    </xf>
    <xf numFmtId="41" fontId="5" fillId="0" borderId="17" xfId="1" applyNumberFormat="1" applyFont="1" applyBorder="1" applyAlignment="1">
      <alignment vertical="center"/>
    </xf>
    <xf numFmtId="41" fontId="5" fillId="6" borderId="17" xfId="1" applyNumberFormat="1" applyFont="1" applyFill="1" applyBorder="1" applyAlignment="1">
      <alignment vertical="center"/>
    </xf>
    <xf numFmtId="41" fontId="5" fillId="7" borderId="17" xfId="1" applyNumberFormat="1" applyFont="1" applyFill="1" applyBorder="1" applyAlignment="1">
      <alignment vertical="center"/>
    </xf>
    <xf numFmtId="41" fontId="5" fillId="0" borderId="19" xfId="1" applyNumberFormat="1" applyFont="1" applyBorder="1" applyAlignment="1">
      <alignment vertical="center"/>
    </xf>
    <xf numFmtId="41" fontId="8" fillId="0" borderId="22" xfId="0" applyNumberFormat="1" applyFont="1" applyFill="1" applyBorder="1" applyAlignment="1">
      <alignment horizontal="center" vertical="center" shrinkToFit="1"/>
    </xf>
    <xf numFmtId="41" fontId="8" fillId="0" borderId="17" xfId="0" applyNumberFormat="1" applyFont="1" applyFill="1" applyBorder="1" applyAlignment="1">
      <alignment horizontal="center" vertical="center" shrinkToFit="1"/>
    </xf>
    <xf numFmtId="41" fontId="8" fillId="0" borderId="22" xfId="0" applyNumberFormat="1" applyFont="1" applyBorder="1" applyAlignment="1">
      <alignment horizontal="center" vertical="center" shrinkToFit="1"/>
    </xf>
    <xf numFmtId="41" fontId="8" fillId="0" borderId="17" xfId="0" applyNumberFormat="1" applyFont="1" applyBorder="1" applyAlignment="1">
      <alignment horizontal="center" vertical="center" shrinkToFit="1"/>
    </xf>
    <xf numFmtId="41" fontId="8" fillId="0" borderId="17" xfId="0" applyNumberFormat="1" applyFont="1" applyFill="1" applyBorder="1" applyAlignment="1">
      <alignment vertical="center"/>
    </xf>
    <xf numFmtId="41" fontId="8" fillId="0" borderId="17" xfId="0" applyNumberFormat="1" applyFont="1" applyFill="1" applyBorder="1" applyAlignment="1">
      <alignment horizontal="right" vertical="center" shrinkToFit="1"/>
    </xf>
    <xf numFmtId="41" fontId="5" fillId="0" borderId="0" xfId="0" applyNumberFormat="1" applyFont="1" applyFill="1" applyBorder="1" applyAlignment="1">
      <alignment vertical="center"/>
    </xf>
    <xf numFmtId="41" fontId="8" fillId="0" borderId="22" xfId="0" applyNumberFormat="1" applyFont="1" applyFill="1" applyBorder="1" applyAlignment="1">
      <alignment horizontal="center" vertical="center"/>
    </xf>
    <xf numFmtId="41" fontId="8" fillId="0" borderId="17" xfId="0" applyNumberFormat="1" applyFont="1" applyFill="1" applyBorder="1" applyAlignment="1">
      <alignment horizontal="center" vertical="center"/>
    </xf>
    <xf numFmtId="41" fontId="8" fillId="0" borderId="22" xfId="0" applyNumberFormat="1" applyFont="1" applyFill="1" applyBorder="1" applyAlignment="1">
      <alignment vertical="center"/>
    </xf>
    <xf numFmtId="0" fontId="5" fillId="0" borderId="27" xfId="0" applyNumberFormat="1" applyFont="1" applyBorder="1" applyAlignment="1">
      <alignment vertical="center"/>
    </xf>
    <xf numFmtId="0" fontId="8" fillId="0" borderId="28" xfId="0" applyNumberFormat="1" applyFont="1" applyFill="1" applyBorder="1" applyAlignment="1">
      <alignment horizontal="center" vertical="center" shrinkToFit="1"/>
    </xf>
    <xf numFmtId="0" fontId="8" fillId="0" borderId="28" xfId="0" applyNumberFormat="1" applyFont="1" applyBorder="1" applyAlignment="1">
      <alignment horizontal="center" vertical="center" shrinkToFit="1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29" xfId="0" applyNumberFormat="1" applyFont="1" applyBorder="1" applyAlignment="1">
      <alignment horizontal="center" vertical="center"/>
    </xf>
    <xf numFmtId="41" fontId="10" fillId="0" borderId="15" xfId="1" applyNumberFormat="1" applyFont="1" applyBorder="1" applyAlignment="1">
      <alignment vertical="center"/>
    </xf>
    <xf numFmtId="41" fontId="12" fillId="0" borderId="21" xfId="1" applyNumberFormat="1" applyFont="1" applyBorder="1" applyAlignment="1">
      <alignment vertical="center" shrinkToFit="1"/>
    </xf>
    <xf numFmtId="41" fontId="8" fillId="0" borderId="17" xfId="0" applyNumberFormat="1" applyFont="1" applyFill="1" applyBorder="1" applyAlignment="1">
      <alignment vertical="center"/>
    </xf>
    <xf numFmtId="41" fontId="8" fillId="6" borderId="23" xfId="0" applyNumberFormat="1" applyFont="1" applyFill="1" applyBorder="1" applyAlignment="1">
      <alignment horizontal="center" vertical="center" shrinkToFit="1"/>
    </xf>
    <xf numFmtId="41" fontId="8" fillId="6" borderId="24" xfId="0" applyNumberFormat="1" applyFont="1" applyFill="1" applyBorder="1" applyAlignment="1">
      <alignment horizontal="center" vertical="center" shrinkToFit="1"/>
    </xf>
    <xf numFmtId="0" fontId="8" fillId="6" borderId="30" xfId="0" applyNumberFormat="1" applyFont="1" applyFill="1" applyBorder="1" applyAlignment="1">
      <alignment horizontal="center" vertical="center" shrinkToFit="1"/>
    </xf>
    <xf numFmtId="0" fontId="8" fillId="6" borderId="24" xfId="0" applyNumberFormat="1" applyFont="1" applyFill="1" applyBorder="1" applyAlignment="1">
      <alignment horizontal="center" vertical="center" shrinkToFit="1"/>
    </xf>
    <xf numFmtId="41" fontId="8" fillId="6" borderId="22" xfId="0" applyNumberFormat="1" applyFont="1" applyFill="1" applyBorder="1" applyAlignment="1">
      <alignment horizontal="center" vertical="center" shrinkToFit="1"/>
    </xf>
    <xf numFmtId="41" fontId="8" fillId="6" borderId="17" xfId="0" applyNumberFormat="1" applyFont="1" applyFill="1" applyBorder="1" applyAlignment="1">
      <alignment horizontal="center" vertical="center" shrinkToFit="1"/>
    </xf>
    <xf numFmtId="41" fontId="8" fillId="6" borderId="17" xfId="0" applyNumberFormat="1" applyFont="1" applyFill="1" applyBorder="1" applyAlignment="1">
      <alignment horizontal="right" vertical="center" shrinkToFit="1"/>
    </xf>
    <xf numFmtId="41" fontId="8" fillId="6" borderId="22" xfId="0" applyNumberFormat="1" applyFont="1" applyFill="1" applyBorder="1" applyAlignment="1">
      <alignment horizontal="center" vertical="center"/>
    </xf>
    <xf numFmtId="41" fontId="8" fillId="6" borderId="17" xfId="0" applyNumberFormat="1" applyFont="1" applyFill="1" applyBorder="1" applyAlignment="1">
      <alignment horizontal="center" vertical="center"/>
    </xf>
    <xf numFmtId="41" fontId="8" fillId="7" borderId="17" xfId="0" applyNumberFormat="1" applyFont="1" applyFill="1" applyBorder="1" applyAlignment="1">
      <alignment horizontal="center" vertical="center" shrinkToFit="1"/>
    </xf>
    <xf numFmtId="41" fontId="8" fillId="7" borderId="17" xfId="0" applyNumberFormat="1" applyFont="1" applyFill="1" applyBorder="1" applyAlignment="1">
      <alignment horizontal="center" vertical="center"/>
    </xf>
    <xf numFmtId="41" fontId="8" fillId="7" borderId="17" xfId="0" applyNumberFormat="1" applyFont="1" applyFill="1" applyBorder="1" applyAlignment="1">
      <alignment horizontal="right" vertical="center" shrinkToFit="1"/>
    </xf>
    <xf numFmtId="41" fontId="8" fillId="7" borderId="17" xfId="0" applyNumberFormat="1" applyFont="1" applyFill="1" applyBorder="1" applyAlignment="1">
      <alignment vertical="center"/>
    </xf>
    <xf numFmtId="0" fontId="8" fillId="6" borderId="28" xfId="0" applyNumberFormat="1" applyFont="1" applyFill="1" applyBorder="1" applyAlignment="1">
      <alignment horizontal="center" vertical="center" shrinkToFit="1"/>
    </xf>
    <xf numFmtId="41" fontId="5" fillId="0" borderId="0" xfId="1" applyNumberFormat="1" applyFont="1" applyBorder="1" applyAlignment="1">
      <alignment horizontal="left" vertical="center"/>
    </xf>
    <xf numFmtId="176" fontId="5" fillId="8" borderId="31" xfId="0" applyNumberFormat="1" applyFont="1" applyFill="1" applyBorder="1" applyAlignment="1">
      <alignment vertical="center" shrinkToFit="1"/>
    </xf>
    <xf numFmtId="41" fontId="5" fillId="8" borderId="19" xfId="0" applyNumberFormat="1" applyFont="1" applyFill="1" applyBorder="1" applyAlignment="1">
      <alignment horizontal="center" vertical="center"/>
    </xf>
    <xf numFmtId="41" fontId="5" fillId="8" borderId="19" xfId="0" applyNumberFormat="1" applyFont="1" applyFill="1" applyBorder="1" applyAlignment="1">
      <alignment vertical="center"/>
    </xf>
    <xf numFmtId="41" fontId="5" fillId="8" borderId="19" xfId="0" applyNumberFormat="1" applyFont="1" applyFill="1" applyBorder="1" applyAlignment="1">
      <alignment vertical="center" shrinkToFit="1"/>
    </xf>
    <xf numFmtId="41" fontId="4" fillId="0" borderId="32" xfId="1" applyNumberFormat="1" applyFont="1" applyBorder="1" applyAlignment="1">
      <alignment horizontal="right" vertical="center" readingOrder="1"/>
    </xf>
    <xf numFmtId="41" fontId="4" fillId="0" borderId="33" xfId="0" applyNumberFormat="1" applyFont="1" applyBorder="1" applyAlignment="1">
      <alignment horizontal="right" vertical="center" readingOrder="1"/>
    </xf>
    <xf numFmtId="41" fontId="4" fillId="0" borderId="34" xfId="0" applyNumberFormat="1" applyFont="1" applyBorder="1" applyAlignment="1">
      <alignment horizontal="right" vertical="center" readingOrder="1"/>
    </xf>
    <xf numFmtId="41" fontId="4" fillId="0" borderId="35" xfId="0" applyNumberFormat="1" applyFont="1" applyBorder="1" applyAlignment="1">
      <alignment horizontal="right" vertical="center" readingOrder="1"/>
    </xf>
    <xf numFmtId="41" fontId="4" fillId="0" borderId="36" xfId="0" applyNumberFormat="1" applyFont="1" applyBorder="1" applyAlignment="1">
      <alignment horizontal="right" vertical="center" readingOrder="1"/>
    </xf>
    <xf numFmtId="41" fontId="4" fillId="0" borderId="37" xfId="0" applyNumberFormat="1" applyFont="1" applyBorder="1" applyAlignment="1">
      <alignment horizontal="right" vertical="center" readingOrder="1"/>
    </xf>
    <xf numFmtId="41" fontId="4" fillId="0" borderId="38" xfId="0" applyNumberFormat="1" applyFont="1" applyBorder="1" applyAlignment="1">
      <alignment horizontal="right" vertical="center" readingOrder="1"/>
    </xf>
    <xf numFmtId="41" fontId="4" fillId="0" borderId="39" xfId="0" applyNumberFormat="1" applyFont="1" applyBorder="1" applyAlignment="1">
      <alignment horizontal="right" vertical="center" readingOrder="1"/>
    </xf>
    <xf numFmtId="41" fontId="10" fillId="0" borderId="40" xfId="0" applyNumberFormat="1" applyFont="1" applyBorder="1" applyAlignment="1">
      <alignment vertical="center"/>
    </xf>
    <xf numFmtId="41" fontId="10" fillId="0" borderId="41" xfId="0" applyNumberFormat="1" applyFont="1" applyBorder="1" applyAlignment="1">
      <alignment horizontal="center" vertical="center"/>
    </xf>
    <xf numFmtId="41" fontId="10" fillId="0" borderId="42" xfId="0" applyNumberFormat="1" applyFont="1" applyBorder="1" applyAlignment="1">
      <alignment horizontal="right" vertical="center"/>
    </xf>
    <xf numFmtId="41" fontId="4" fillId="0" borderId="43" xfId="0" applyNumberFormat="1" applyFont="1" applyBorder="1" applyAlignment="1">
      <alignment horizontal="right" vertical="center" readingOrder="1"/>
    </xf>
    <xf numFmtId="41" fontId="4" fillId="0" borderId="36" xfId="0" applyNumberFormat="1" applyFont="1" applyBorder="1" applyAlignment="1">
      <alignment horizontal="distributed" vertical="center" readingOrder="1"/>
    </xf>
    <xf numFmtId="41" fontId="4" fillId="0" borderId="44" xfId="0" applyNumberFormat="1" applyFont="1" applyBorder="1" applyAlignment="1">
      <alignment horizontal="right" vertical="center" readingOrder="1"/>
    </xf>
    <xf numFmtId="41" fontId="4" fillId="0" borderId="45" xfId="0" applyNumberFormat="1" applyFont="1" applyBorder="1" applyAlignment="1">
      <alignment horizontal="right" vertical="center" readingOrder="1"/>
    </xf>
    <xf numFmtId="41" fontId="4" fillId="0" borderId="46" xfId="0" applyNumberFormat="1" applyFont="1" applyBorder="1" applyAlignment="1">
      <alignment horizontal="right" vertical="center" readingOrder="1"/>
    </xf>
    <xf numFmtId="41" fontId="4" fillId="0" borderId="38" xfId="1" applyNumberFormat="1" applyFont="1" applyBorder="1" applyAlignment="1">
      <alignment horizontal="right" vertical="center" readingOrder="1"/>
    </xf>
    <xf numFmtId="41" fontId="4" fillId="0" borderId="47" xfId="0" applyNumberFormat="1" applyFont="1" applyBorder="1" applyAlignment="1">
      <alignment horizontal="right" vertical="center" readingOrder="1"/>
    </xf>
    <xf numFmtId="41" fontId="4" fillId="0" borderId="37" xfId="1" applyNumberFormat="1" applyFont="1" applyBorder="1" applyAlignment="1">
      <alignment horizontal="right" vertical="center" readingOrder="1"/>
    </xf>
    <xf numFmtId="41" fontId="4" fillId="0" borderId="48" xfId="1" applyNumberFormat="1" applyFont="1" applyBorder="1" applyAlignment="1">
      <alignment horizontal="right" vertical="center" readingOrder="1"/>
    </xf>
    <xf numFmtId="41" fontId="4" fillId="0" borderId="49" xfId="0" applyNumberFormat="1" applyFont="1" applyBorder="1" applyAlignment="1">
      <alignment horizontal="right" vertical="center" readingOrder="1"/>
    </xf>
    <xf numFmtId="41" fontId="4" fillId="0" borderId="35" xfId="1" applyNumberFormat="1" applyFont="1" applyBorder="1" applyAlignment="1">
      <alignment horizontal="right" vertical="center" readingOrder="1"/>
    </xf>
    <xf numFmtId="41" fontId="4" fillId="0" borderId="50" xfId="1" applyNumberFormat="1" applyFont="1" applyBorder="1" applyAlignment="1">
      <alignment horizontal="right" vertical="center" readingOrder="1"/>
    </xf>
    <xf numFmtId="0" fontId="4" fillId="0" borderId="51" xfId="0" applyNumberFormat="1" applyFont="1" applyBorder="1" applyAlignment="1">
      <alignment horizontal="distributed" vertical="center" readingOrder="1"/>
    </xf>
    <xf numFmtId="0" fontId="4" fillId="0" borderId="52" xfId="0" applyNumberFormat="1" applyFont="1" applyBorder="1" applyAlignment="1">
      <alignment horizontal="distributed" vertical="center" readingOrder="1"/>
    </xf>
    <xf numFmtId="0" fontId="4" fillId="0" borderId="53" xfId="0" applyNumberFormat="1" applyFont="1" applyBorder="1" applyAlignment="1">
      <alignment horizontal="distributed" vertical="center" readingOrder="1"/>
    </xf>
    <xf numFmtId="0" fontId="4" fillId="0" borderId="54" xfId="0" applyNumberFormat="1" applyFont="1" applyBorder="1" applyAlignment="1">
      <alignment horizontal="distributed" vertical="center" readingOrder="1"/>
    </xf>
    <xf numFmtId="0" fontId="4" fillId="0" borderId="28" xfId="0" applyNumberFormat="1" applyFont="1" applyBorder="1" applyAlignment="1">
      <alignment horizontal="distributed" vertical="center" readingOrder="1"/>
    </xf>
    <xf numFmtId="0" fontId="4" fillId="0" borderId="11" xfId="0" applyNumberFormat="1" applyFont="1" applyBorder="1" applyAlignment="1">
      <alignment horizontal="distributed" vertical="center" readingOrder="1"/>
    </xf>
    <xf numFmtId="0" fontId="4" fillId="0" borderId="55" xfId="0" applyNumberFormat="1" applyFont="1" applyBorder="1" applyAlignment="1">
      <alignment horizontal="distributed" vertical="center" readingOrder="1"/>
    </xf>
    <xf numFmtId="0" fontId="4" fillId="0" borderId="56" xfId="0" applyNumberFormat="1" applyFont="1" applyBorder="1" applyAlignment="1">
      <alignment horizontal="distributed" vertical="center" readingOrder="1"/>
    </xf>
    <xf numFmtId="0" fontId="4" fillId="0" borderId="29" xfId="0" applyNumberFormat="1" applyFont="1" applyBorder="1" applyAlignment="1">
      <alignment horizontal="distributed" vertical="center" readingOrder="1"/>
    </xf>
    <xf numFmtId="0" fontId="10" fillId="0" borderId="57" xfId="0" applyNumberFormat="1" applyFont="1" applyBorder="1" applyAlignment="1">
      <alignment horizontal="center" vertical="center"/>
    </xf>
    <xf numFmtId="0" fontId="4" fillId="0" borderId="58" xfId="0" applyNumberFormat="1" applyFont="1" applyBorder="1" applyAlignment="1">
      <alignment horizontal="distributed" vertical="center" readingOrder="1"/>
    </xf>
    <xf numFmtId="0" fontId="4" fillId="0" borderId="59" xfId="0" applyNumberFormat="1" applyFont="1" applyBorder="1" applyAlignment="1">
      <alignment horizontal="distributed" vertical="center" readingOrder="1"/>
    </xf>
    <xf numFmtId="0" fontId="5" fillId="0" borderId="56" xfId="0" applyNumberFormat="1" applyFont="1" applyBorder="1" applyAlignment="1">
      <alignment horizontal="distributed" vertical="center" shrinkToFit="1" readingOrder="1"/>
    </xf>
    <xf numFmtId="0" fontId="4" fillId="0" borderId="60" xfId="0" applyNumberFormat="1" applyFont="1" applyBorder="1" applyAlignment="1">
      <alignment horizontal="distributed" vertical="center" readingOrder="1"/>
    </xf>
    <xf numFmtId="0" fontId="4" fillId="0" borderId="22" xfId="0" applyNumberFormat="1" applyFont="1" applyBorder="1" applyAlignment="1">
      <alignment horizontal="distributed" vertical="center" readingOrder="1"/>
    </xf>
    <xf numFmtId="0" fontId="4" fillId="0" borderId="3" xfId="0" applyNumberFormat="1" applyFont="1" applyBorder="1" applyAlignment="1">
      <alignment horizontal="distributed" vertical="center" readingOrder="1"/>
    </xf>
    <xf numFmtId="0" fontId="10" fillId="0" borderId="41" xfId="0" applyNumberFormat="1" applyFont="1" applyBorder="1" applyAlignment="1">
      <alignment horizontal="center" vertical="center"/>
    </xf>
    <xf numFmtId="0" fontId="4" fillId="0" borderId="61" xfId="0" applyNumberFormat="1" applyFont="1" applyBorder="1" applyAlignment="1">
      <alignment horizontal="distributed" vertical="center" readingOrder="1"/>
    </xf>
    <xf numFmtId="0" fontId="4" fillId="0" borderId="62" xfId="0" applyNumberFormat="1" applyFont="1" applyBorder="1" applyAlignment="1">
      <alignment horizontal="distributed" vertical="center" readingOrder="1"/>
    </xf>
    <xf numFmtId="41" fontId="10" fillId="0" borderId="63" xfId="0" applyNumberFormat="1" applyFont="1" applyBorder="1" applyAlignment="1">
      <alignment vertical="center"/>
    </xf>
    <xf numFmtId="41" fontId="10" fillId="0" borderId="64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center" vertical="center" shrinkToFit="1"/>
    </xf>
    <xf numFmtId="41" fontId="21" fillId="0" borderId="21" xfId="4" applyNumberFormat="1" applyFont="1" applyBorder="1" applyAlignment="1">
      <alignment horizontal="right" vertical="center" shrinkToFit="1"/>
    </xf>
    <xf numFmtId="41" fontId="8" fillId="0" borderId="17" xfId="4" applyNumberFormat="1" applyFont="1" applyFill="1" applyBorder="1" applyAlignment="1">
      <alignment horizontal="right" vertical="center" shrinkToFit="1"/>
    </xf>
    <xf numFmtId="0" fontId="7" fillId="0" borderId="28" xfId="0" applyNumberFormat="1" applyFont="1" applyFill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 shrinkToFit="1"/>
    </xf>
    <xf numFmtId="41" fontId="21" fillId="0" borderId="21" xfId="1" applyNumberFormat="1" applyFont="1" applyBorder="1" applyAlignment="1">
      <alignment vertical="center" shrinkToFit="1"/>
    </xf>
    <xf numFmtId="41" fontId="7" fillId="0" borderId="17" xfId="1" applyNumberFormat="1" applyFont="1" applyFill="1" applyBorder="1" applyAlignment="1">
      <alignment horizontal="right" vertical="center" shrinkToFit="1"/>
    </xf>
    <xf numFmtId="41" fontId="8" fillId="6" borderId="24" xfId="4" applyNumberFormat="1" applyFont="1" applyFill="1" applyBorder="1" applyAlignment="1">
      <alignment horizontal="right" vertical="center" shrinkToFit="1"/>
    </xf>
    <xf numFmtId="0" fontId="7" fillId="6" borderId="30" xfId="0" applyNumberFormat="1" applyFont="1" applyFill="1" applyBorder="1" applyAlignment="1">
      <alignment horizontal="center" vertical="center" shrinkToFit="1"/>
    </xf>
    <xf numFmtId="0" fontId="7" fillId="6" borderId="24" xfId="0" applyNumberFormat="1" applyFont="1" applyFill="1" applyBorder="1" applyAlignment="1">
      <alignment horizontal="center" vertical="center" shrinkToFit="1"/>
    </xf>
    <xf numFmtId="41" fontId="8" fillId="6" borderId="17" xfId="4" applyNumberFormat="1" applyFont="1" applyFill="1" applyBorder="1" applyAlignment="1">
      <alignment horizontal="right" vertical="center" shrinkToFit="1"/>
    </xf>
    <xf numFmtId="41" fontId="8" fillId="6" borderId="17" xfId="0" applyNumberFormat="1" applyFont="1" applyFill="1" applyBorder="1" applyAlignment="1">
      <alignment vertical="center"/>
    </xf>
    <xf numFmtId="0" fontId="7" fillId="0" borderId="28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41" fontId="7" fillId="0" borderId="52" xfId="1" applyNumberFormat="1" applyFont="1" applyBorder="1" applyAlignment="1">
      <alignment vertical="center"/>
    </xf>
    <xf numFmtId="0" fontId="7" fillId="6" borderId="17" xfId="0" applyNumberFormat="1" applyFont="1" applyFill="1" applyBorder="1" applyAlignment="1">
      <alignment horizontal="center" vertical="center" shrinkToFit="1"/>
    </xf>
    <xf numFmtId="0" fontId="7" fillId="7" borderId="17" xfId="0" applyNumberFormat="1" applyFont="1" applyFill="1" applyBorder="1" applyAlignment="1">
      <alignment horizontal="center" vertical="center" shrinkToFit="1"/>
    </xf>
    <xf numFmtId="41" fontId="8" fillId="7" borderId="17" xfId="4" applyNumberFormat="1" applyFont="1" applyFill="1" applyBorder="1" applyAlignment="1">
      <alignment horizontal="right" vertical="center" shrinkToFit="1"/>
    </xf>
    <xf numFmtId="0" fontId="7" fillId="7" borderId="25" xfId="0" applyNumberFormat="1" applyFont="1" applyFill="1" applyBorder="1" applyAlignment="1">
      <alignment horizontal="center" vertical="center"/>
    </xf>
    <xf numFmtId="41" fontId="5" fillId="7" borderId="17" xfId="0" applyNumberFormat="1" applyFont="1" applyFill="1" applyBorder="1" applyAlignment="1">
      <alignment vertical="center"/>
    </xf>
    <xf numFmtId="0" fontId="7" fillId="7" borderId="17" xfId="0" applyNumberFormat="1" applyFont="1" applyFill="1" applyBorder="1" applyAlignment="1">
      <alignment horizontal="center" vertical="center"/>
    </xf>
    <xf numFmtId="0" fontId="7" fillId="6" borderId="28" xfId="0" applyNumberFormat="1" applyFont="1" applyFill="1" applyBorder="1" applyAlignment="1">
      <alignment horizontal="center" vertical="center"/>
    </xf>
    <xf numFmtId="0" fontId="7" fillId="6" borderId="17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center" vertical="center"/>
    </xf>
    <xf numFmtId="41" fontId="13" fillId="0" borderId="14" xfId="0" applyNumberFormat="1" applyFont="1" applyBorder="1" applyAlignment="1">
      <alignment horizontal="right" vertical="center" shrinkToFit="1"/>
    </xf>
    <xf numFmtId="41" fontId="13" fillId="3" borderId="14" xfId="1" applyNumberFormat="1" applyFont="1" applyFill="1" applyBorder="1" applyAlignment="1">
      <alignment vertical="center"/>
    </xf>
    <xf numFmtId="41" fontId="5" fillId="0" borderId="17" xfId="0" applyNumberFormat="1" applyFont="1" applyBorder="1" applyAlignment="1">
      <alignment vertical="center"/>
    </xf>
    <xf numFmtId="41" fontId="5" fillId="0" borderId="17" xfId="1" applyNumberFormat="1" applyFont="1" applyBorder="1" applyAlignment="1">
      <alignment vertical="center" shrinkToFit="1"/>
    </xf>
    <xf numFmtId="41" fontId="5" fillId="6" borderId="17" xfId="0" applyNumberFormat="1" applyFont="1" applyFill="1" applyBorder="1" applyAlignment="1">
      <alignment vertical="center"/>
    </xf>
    <xf numFmtId="0" fontId="5" fillId="7" borderId="26" xfId="0" applyNumberFormat="1" applyFont="1" applyFill="1" applyBorder="1" applyAlignment="1">
      <alignment vertical="center"/>
    </xf>
    <xf numFmtId="0" fontId="6" fillId="7" borderId="0" xfId="0" applyNumberFormat="1" applyFont="1" applyFill="1" applyBorder="1" applyAlignment="1">
      <alignment vertical="center"/>
    </xf>
    <xf numFmtId="0" fontId="6" fillId="6" borderId="0" xfId="0" applyNumberFormat="1" applyFont="1" applyFill="1" applyBorder="1" applyAlignment="1">
      <alignment vertical="center"/>
    </xf>
    <xf numFmtId="0" fontId="5" fillId="6" borderId="65" xfId="0" applyNumberFormat="1" applyFont="1" applyFill="1" applyBorder="1" applyAlignment="1">
      <alignment vertical="center"/>
    </xf>
    <xf numFmtId="180" fontId="5" fillId="0" borderId="21" xfId="1" applyNumberFormat="1" applyFont="1" applyBorder="1" applyAlignment="1">
      <alignment horizontal="right" vertical="center" shrinkToFit="1"/>
    </xf>
    <xf numFmtId="180" fontId="5" fillId="6" borderId="18" xfId="1" applyNumberFormat="1" applyFont="1" applyFill="1" applyBorder="1" applyAlignment="1">
      <alignment horizontal="right" vertical="center" shrinkToFit="1"/>
    </xf>
    <xf numFmtId="180" fontId="5" fillId="7" borderId="17" xfId="1" applyNumberFormat="1" applyFont="1" applyFill="1" applyBorder="1" applyAlignment="1">
      <alignment horizontal="right" vertical="center" shrinkToFit="1"/>
    </xf>
    <xf numFmtId="180" fontId="5" fillId="0" borderId="17" xfId="1" applyNumberFormat="1" applyFont="1" applyFill="1" applyBorder="1" applyAlignment="1">
      <alignment horizontal="right" vertical="center" shrinkToFit="1"/>
    </xf>
    <xf numFmtId="180" fontId="5" fillId="6" borderId="17" xfId="1" applyNumberFormat="1" applyFont="1" applyFill="1" applyBorder="1" applyAlignment="1">
      <alignment horizontal="right" vertical="center" shrinkToFit="1"/>
    </xf>
    <xf numFmtId="180" fontId="5" fillId="0" borderId="17" xfId="1" applyNumberFormat="1" applyFont="1" applyBorder="1" applyAlignment="1">
      <alignment horizontal="right" vertical="center" shrinkToFit="1"/>
    </xf>
    <xf numFmtId="180" fontId="5" fillId="0" borderId="17" xfId="0" applyNumberFormat="1" applyFont="1" applyBorder="1" applyAlignment="1">
      <alignment vertical="center"/>
    </xf>
    <xf numFmtId="180" fontId="5" fillId="6" borderId="17" xfId="0" applyNumberFormat="1" applyFont="1" applyFill="1" applyBorder="1" applyAlignment="1">
      <alignment vertical="center"/>
    </xf>
    <xf numFmtId="180" fontId="5" fillId="7" borderId="17" xfId="0" applyNumberFormat="1" applyFont="1" applyFill="1" applyBorder="1" applyAlignment="1">
      <alignment vertical="center"/>
    </xf>
    <xf numFmtId="180" fontId="5" fillId="0" borderId="19" xfId="0" applyNumberFormat="1" applyFont="1" applyBorder="1" applyAlignment="1">
      <alignment vertical="center"/>
    </xf>
    <xf numFmtId="179" fontId="12" fillId="0" borderId="66" xfId="1" applyNumberFormat="1" applyFont="1" applyBorder="1" applyAlignment="1">
      <alignment horizontal="right" vertical="center" shrinkToFit="1"/>
    </xf>
    <xf numFmtId="179" fontId="8" fillId="6" borderId="67" xfId="1" applyNumberFormat="1" applyFont="1" applyFill="1" applyBorder="1" applyAlignment="1">
      <alignment horizontal="right" vertical="center" shrinkToFit="1"/>
    </xf>
    <xf numFmtId="179" fontId="8" fillId="7" borderId="68" xfId="1" applyNumberFormat="1" applyFont="1" applyFill="1" applyBorder="1" applyAlignment="1">
      <alignment horizontal="right" vertical="center" shrinkToFit="1"/>
    </xf>
    <xf numFmtId="179" fontId="8" fillId="0" borderId="68" xfId="1" applyNumberFormat="1" applyFont="1" applyFill="1" applyBorder="1" applyAlignment="1">
      <alignment horizontal="right" vertical="center" shrinkToFit="1"/>
    </xf>
    <xf numFmtId="179" fontId="8" fillId="6" borderId="68" xfId="1" applyNumberFormat="1" applyFont="1" applyFill="1" applyBorder="1" applyAlignment="1">
      <alignment horizontal="right" vertical="center" shrinkToFit="1"/>
    </xf>
    <xf numFmtId="176" fontId="12" fillId="0" borderId="21" xfId="1" applyNumberFormat="1" applyFont="1" applyBorder="1" applyAlignment="1">
      <alignment vertical="center" shrinkToFit="1"/>
    </xf>
    <xf numFmtId="41" fontId="8" fillId="6" borderId="24" xfId="1" applyNumberFormat="1" applyFont="1" applyFill="1" applyBorder="1" applyAlignment="1">
      <alignment vertical="center" shrinkToFit="1"/>
    </xf>
    <xf numFmtId="41" fontId="8" fillId="7" borderId="17" xfId="1" applyNumberFormat="1" applyFont="1" applyFill="1" applyBorder="1" applyAlignment="1">
      <alignment vertical="center" shrinkToFit="1"/>
    </xf>
    <xf numFmtId="41" fontId="8" fillId="0" borderId="17" xfId="1" applyNumberFormat="1" applyFont="1" applyBorder="1" applyAlignment="1">
      <alignment vertical="center" shrinkToFit="1"/>
    </xf>
    <xf numFmtId="41" fontId="8" fillId="0" borderId="17" xfId="1" applyNumberFormat="1" applyFont="1" applyFill="1" applyBorder="1" applyAlignment="1">
      <alignment vertical="center" shrinkToFit="1"/>
    </xf>
    <xf numFmtId="41" fontId="8" fillId="6" borderId="17" xfId="1" applyNumberFormat="1" applyFont="1" applyFill="1" applyBorder="1" applyAlignment="1">
      <alignment vertical="center" shrinkToFit="1"/>
    </xf>
    <xf numFmtId="41" fontId="8" fillId="0" borderId="17" xfId="0" applyNumberFormat="1" applyFont="1" applyFill="1" applyBorder="1" applyAlignment="1">
      <alignment vertical="center" shrinkToFit="1"/>
    </xf>
    <xf numFmtId="41" fontId="8" fillId="6" borderId="17" xfId="0" applyNumberFormat="1" applyFont="1" applyFill="1" applyBorder="1" applyAlignment="1">
      <alignment vertical="center" shrinkToFit="1"/>
    </xf>
    <xf numFmtId="41" fontId="8" fillId="7" borderId="17" xfId="0" applyNumberFormat="1" applyFont="1" applyFill="1" applyBorder="1" applyAlignment="1">
      <alignment vertical="center" shrinkToFit="1"/>
    </xf>
    <xf numFmtId="180" fontId="12" fillId="0" borderId="63" xfId="1" applyNumberFormat="1" applyFont="1" applyBorder="1" applyAlignment="1">
      <alignment horizontal="right" vertical="center" shrinkToFit="1"/>
    </xf>
    <xf numFmtId="180" fontId="8" fillId="6" borderId="69" xfId="1" applyNumberFormat="1" applyFont="1" applyFill="1" applyBorder="1" applyAlignment="1">
      <alignment horizontal="right" vertical="center" shrinkToFit="1"/>
    </xf>
    <xf numFmtId="180" fontId="8" fillId="7" borderId="38" xfId="1" applyNumberFormat="1" applyFont="1" applyFill="1" applyBorder="1" applyAlignment="1">
      <alignment horizontal="right" vertical="center" shrinkToFit="1"/>
    </xf>
    <xf numFmtId="180" fontId="8" fillId="0" borderId="38" xfId="1" applyNumberFormat="1" applyFont="1" applyFill="1" applyBorder="1" applyAlignment="1">
      <alignment horizontal="right" vertical="center" shrinkToFit="1"/>
    </xf>
    <xf numFmtId="180" fontId="8" fillId="6" borderId="38" xfId="1" applyNumberFormat="1" applyFont="1" applyFill="1" applyBorder="1" applyAlignment="1">
      <alignment horizontal="right" vertical="center" shrinkToFit="1"/>
    </xf>
    <xf numFmtId="9" fontId="6" fillId="5" borderId="17" xfId="0" applyNumberFormat="1" applyFont="1" applyFill="1" applyBorder="1" applyAlignment="1">
      <alignment horizontal="center" vertical="center" shrinkToFit="1"/>
    </xf>
    <xf numFmtId="41" fontId="5" fillId="5" borderId="17" xfId="0" applyNumberFormat="1" applyFont="1" applyFill="1" applyBorder="1" applyAlignment="1">
      <alignment vertical="center" shrinkToFit="1"/>
    </xf>
    <xf numFmtId="41" fontId="5" fillId="5" borderId="17" xfId="1" applyNumberFormat="1" applyFont="1" applyFill="1" applyBorder="1" applyAlignment="1">
      <alignment horizontal="right" vertical="center" shrinkToFit="1"/>
    </xf>
    <xf numFmtId="176" fontId="5" fillId="5" borderId="0" xfId="1" applyNumberFormat="1" applyFont="1" applyFill="1" applyBorder="1" applyAlignment="1">
      <alignment horizontal="right" vertical="center" shrinkToFit="1"/>
    </xf>
    <xf numFmtId="0" fontId="5" fillId="5" borderId="0" xfId="0" applyNumberFormat="1" applyFont="1" applyFill="1" applyBorder="1" applyAlignment="1">
      <alignment vertical="center" shrinkToFit="1"/>
    </xf>
    <xf numFmtId="178" fontId="22" fillId="6" borderId="70" xfId="0" applyNumberFormat="1" applyFont="1" applyFill="1" applyBorder="1" applyAlignment="1">
      <alignment vertical="center"/>
    </xf>
    <xf numFmtId="178" fontId="22" fillId="7" borderId="71" xfId="0" applyNumberFormat="1" applyFont="1" applyFill="1" applyBorder="1" applyAlignment="1">
      <alignment vertical="center"/>
    </xf>
    <xf numFmtId="176" fontId="5" fillId="5" borderId="25" xfId="1" applyNumberFormat="1" applyFont="1" applyFill="1" applyBorder="1" applyAlignment="1">
      <alignment horizontal="right" vertical="center" shrinkToFit="1"/>
    </xf>
    <xf numFmtId="0" fontId="6" fillId="5" borderId="17" xfId="0" applyNumberFormat="1" applyFont="1" applyFill="1" applyBorder="1" applyAlignment="1">
      <alignment horizontal="center" vertical="center" shrinkToFit="1"/>
    </xf>
    <xf numFmtId="41" fontId="5" fillId="5" borderId="17" xfId="0" applyNumberFormat="1" applyFont="1" applyFill="1" applyBorder="1" applyAlignment="1">
      <alignment horizontal="center" vertical="center"/>
    </xf>
    <xf numFmtId="176" fontId="5" fillId="5" borderId="25" xfId="0" applyNumberFormat="1" applyFont="1" applyFill="1" applyBorder="1" applyAlignment="1">
      <alignment vertical="center" shrinkToFit="1"/>
    </xf>
    <xf numFmtId="176" fontId="5" fillId="5" borderId="0" xfId="0" applyNumberFormat="1" applyFont="1" applyFill="1" applyBorder="1" applyAlignment="1">
      <alignment vertical="center" shrinkToFit="1"/>
    </xf>
    <xf numFmtId="41" fontId="5" fillId="5" borderId="25" xfId="1" applyNumberFormat="1" applyFont="1" applyFill="1" applyBorder="1" applyAlignment="1">
      <alignment horizontal="left" vertical="center"/>
    </xf>
    <xf numFmtId="41" fontId="5" fillId="5" borderId="0" xfId="1" applyNumberFormat="1" applyFont="1" applyFill="1" applyBorder="1" applyAlignment="1">
      <alignment horizontal="left" vertical="center"/>
    </xf>
    <xf numFmtId="41" fontId="5" fillId="0" borderId="17" xfId="1" applyNumberFormat="1" applyFont="1" applyBorder="1" applyAlignment="1">
      <alignment horizontal="left" vertical="center"/>
    </xf>
    <xf numFmtId="0" fontId="5" fillId="5" borderId="26" xfId="0" applyNumberFormat="1" applyFont="1" applyFill="1" applyBorder="1" applyAlignment="1">
      <alignment vertical="center" shrinkToFit="1"/>
    </xf>
    <xf numFmtId="178" fontId="18" fillId="7" borderId="72" xfId="0" applyNumberFormat="1" applyFont="1" applyFill="1" applyBorder="1" applyAlignment="1">
      <alignment vertical="center"/>
    </xf>
    <xf numFmtId="0" fontId="5" fillId="0" borderId="17" xfId="0" applyNumberFormat="1" applyFont="1" applyBorder="1" applyAlignment="1">
      <alignment horizontal="center" vertical="center" shrinkToFit="1"/>
    </xf>
    <xf numFmtId="181" fontId="5" fillId="0" borderId="17" xfId="0" applyNumberFormat="1" applyFont="1" applyBorder="1" applyAlignment="1">
      <alignment vertical="center" shrinkToFit="1"/>
    </xf>
    <xf numFmtId="9" fontId="5" fillId="0" borderId="17" xfId="0" applyNumberFormat="1" applyFont="1" applyFill="1" applyBorder="1" applyAlignment="1">
      <alignment vertical="center" shrinkToFit="1"/>
    </xf>
    <xf numFmtId="41" fontId="5" fillId="0" borderId="17" xfId="1" applyNumberFormat="1" applyFont="1" applyFill="1" applyBorder="1" applyAlignment="1">
      <alignment vertical="center" shrinkToFit="1"/>
    </xf>
    <xf numFmtId="185" fontId="5" fillId="0" borderId="17" xfId="0" applyNumberFormat="1" applyFont="1" applyFill="1" applyBorder="1" applyAlignment="1">
      <alignment vertical="center" shrinkToFit="1"/>
    </xf>
    <xf numFmtId="41" fontId="5" fillId="0" borderId="17" xfId="1" applyNumberFormat="1" applyFont="1" applyBorder="1" applyAlignment="1">
      <alignment horizontal="center" vertical="center" shrinkToFit="1"/>
    </xf>
    <xf numFmtId="0" fontId="6" fillId="0" borderId="17" xfId="0" applyNumberFormat="1" applyFont="1" applyBorder="1" applyAlignment="1">
      <alignment horizontal="center" vertical="center"/>
    </xf>
    <xf numFmtId="41" fontId="5" fillId="0" borderId="17" xfId="1" applyNumberFormat="1" applyFont="1" applyBorder="1" applyAlignment="1">
      <alignment vertical="center"/>
    </xf>
    <xf numFmtId="183" fontId="5" fillId="0" borderId="17" xfId="1" applyNumberFormat="1" applyFont="1" applyBorder="1" applyAlignment="1">
      <alignment vertical="center"/>
    </xf>
    <xf numFmtId="41" fontId="5" fillId="0" borderId="17" xfId="1" applyNumberFormat="1" applyFont="1" applyBorder="1" applyAlignment="1">
      <alignment horizontal="center" vertical="center"/>
    </xf>
    <xf numFmtId="184" fontId="5" fillId="0" borderId="17" xfId="1" applyNumberFormat="1" applyFont="1" applyBorder="1" applyAlignment="1">
      <alignment vertical="center"/>
    </xf>
    <xf numFmtId="0" fontId="6" fillId="0" borderId="17" xfId="0" applyNumberFormat="1" applyFont="1" applyBorder="1" applyAlignment="1">
      <alignment horizontal="center" vertical="center" shrinkToFit="1"/>
    </xf>
    <xf numFmtId="10" fontId="5" fillId="0" borderId="17" xfId="1" applyNumberFormat="1" applyFont="1" applyBorder="1" applyAlignment="1">
      <alignment vertical="center"/>
    </xf>
    <xf numFmtId="178" fontId="18" fillId="6" borderId="49" xfId="0" applyNumberFormat="1" applyFont="1" applyFill="1" applyBorder="1" applyAlignment="1">
      <alignment vertical="center"/>
    </xf>
    <xf numFmtId="178" fontId="5" fillId="0" borderId="38" xfId="1" applyNumberFormat="1" applyFont="1" applyBorder="1" applyAlignment="1">
      <alignment horizontal="right" vertical="center"/>
    </xf>
    <xf numFmtId="178" fontId="18" fillId="6" borderId="72" xfId="0" applyNumberFormat="1" applyFont="1" applyFill="1" applyBorder="1" applyAlignment="1">
      <alignment vertical="center"/>
    </xf>
    <xf numFmtId="178" fontId="18" fillId="7" borderId="49" xfId="0" applyNumberFormat="1" applyFont="1" applyFill="1" applyBorder="1" applyAlignment="1">
      <alignment vertical="center"/>
    </xf>
    <xf numFmtId="182" fontId="5" fillId="0" borderId="17" xfId="0" applyNumberFormat="1" applyFont="1" applyBorder="1" applyAlignment="1">
      <alignment vertical="center" shrinkToFit="1"/>
    </xf>
    <xf numFmtId="0" fontId="5" fillId="0" borderId="17" xfId="0" applyNumberFormat="1" applyFont="1" applyBorder="1" applyAlignment="1">
      <alignment vertical="center" shrinkToFit="1"/>
    </xf>
    <xf numFmtId="41" fontId="4" fillId="0" borderId="15" xfId="1" applyNumberFormat="1" applyFont="1" applyBorder="1" applyAlignment="1">
      <alignment vertical="center"/>
    </xf>
    <xf numFmtId="41" fontId="5" fillId="6" borderId="65" xfId="1" applyNumberFormat="1" applyFont="1" applyFill="1" applyBorder="1" applyAlignment="1">
      <alignment vertical="center"/>
    </xf>
    <xf numFmtId="41" fontId="5" fillId="7" borderId="26" xfId="1" applyNumberFormat="1" applyFont="1" applyFill="1" applyBorder="1" applyAlignment="1">
      <alignment vertical="center"/>
    </xf>
    <xf numFmtId="41" fontId="6" fillId="7" borderId="0" xfId="1" applyNumberFormat="1" applyFont="1" applyFill="1" applyBorder="1" applyAlignment="1">
      <alignment vertical="center"/>
    </xf>
    <xf numFmtId="41" fontId="6" fillId="6" borderId="25" xfId="1" applyNumberFormat="1" applyFont="1" applyFill="1" applyBorder="1" applyAlignment="1">
      <alignment vertical="center"/>
    </xf>
    <xf numFmtId="41" fontId="6" fillId="6" borderId="0" xfId="1" applyNumberFormat="1" applyFont="1" applyFill="1" applyBorder="1" applyAlignment="1">
      <alignment vertical="center"/>
    </xf>
    <xf numFmtId="41" fontId="6" fillId="7" borderId="25" xfId="1" applyNumberFormat="1" applyFont="1" applyFill="1" applyBorder="1" applyAlignment="1">
      <alignment vertical="center"/>
    </xf>
    <xf numFmtId="41" fontId="5" fillId="5" borderId="17" xfId="1" applyNumberFormat="1" applyFont="1" applyFill="1" applyBorder="1" applyAlignment="1">
      <alignment vertical="center" shrinkToFit="1"/>
    </xf>
    <xf numFmtId="41" fontId="5" fillId="5" borderId="0" xfId="1" applyNumberFormat="1" applyFont="1" applyFill="1" applyBorder="1" applyAlignment="1">
      <alignment vertical="center" shrinkToFit="1"/>
    </xf>
    <xf numFmtId="178" fontId="22" fillId="5" borderId="72" xfId="0" applyNumberFormat="1" applyFont="1" applyFill="1" applyBorder="1" applyAlignment="1">
      <alignment vertical="center" shrinkToFit="1"/>
    </xf>
    <xf numFmtId="41" fontId="5" fillId="5" borderId="0" xfId="1" applyNumberFormat="1" applyFont="1" applyFill="1" applyBorder="1" applyAlignment="1">
      <alignment vertical="center"/>
    </xf>
    <xf numFmtId="178" fontId="22" fillId="5" borderId="72" xfId="1" applyNumberFormat="1" applyFont="1" applyFill="1" applyBorder="1" applyAlignment="1">
      <alignment vertical="center"/>
    </xf>
    <xf numFmtId="0" fontId="5" fillId="0" borderId="17" xfId="0" applyNumberFormat="1" applyFont="1" applyFill="1" applyBorder="1" applyAlignment="1">
      <alignment horizontal="center" vertical="center" shrinkToFit="1"/>
    </xf>
    <xf numFmtId="181" fontId="23" fillId="0" borderId="17" xfId="0" applyNumberFormat="1" applyFont="1" applyBorder="1" applyAlignment="1">
      <alignment vertical="center" shrinkToFit="1"/>
    </xf>
    <xf numFmtId="0" fontId="23" fillId="0" borderId="17" xfId="0" applyNumberFormat="1" applyFont="1" applyBorder="1" applyAlignment="1">
      <alignment horizontal="center" vertical="center" shrinkToFit="1"/>
    </xf>
    <xf numFmtId="186" fontId="23" fillId="0" borderId="17" xfId="0" applyNumberFormat="1" applyFont="1" applyBorder="1" applyAlignment="1">
      <alignment vertical="center" shrinkToFit="1"/>
    </xf>
    <xf numFmtId="178" fontId="5" fillId="0" borderId="72" xfId="1" applyNumberFormat="1" applyFont="1" applyBorder="1" applyAlignment="1">
      <alignment horizontal="right" vertical="center"/>
    </xf>
    <xf numFmtId="41" fontId="5" fillId="5" borderId="17" xfId="0" applyNumberFormat="1" applyFont="1" applyFill="1" applyBorder="1" applyAlignment="1">
      <alignment vertical="center"/>
    </xf>
    <xf numFmtId="186" fontId="5" fillId="0" borderId="17" xfId="0" applyNumberFormat="1" applyFont="1" applyBorder="1" applyAlignment="1">
      <alignment vertical="center" shrinkToFit="1"/>
    </xf>
    <xf numFmtId="178" fontId="22" fillId="5" borderId="49" xfId="1" applyNumberFormat="1" applyFont="1" applyFill="1" applyBorder="1" applyAlignment="1">
      <alignment horizontal="right" vertical="center"/>
    </xf>
    <xf numFmtId="178" fontId="22" fillId="5" borderId="72" xfId="1" applyNumberFormat="1" applyFont="1" applyFill="1" applyBorder="1" applyAlignment="1">
      <alignment horizontal="right" vertical="center"/>
    </xf>
    <xf numFmtId="178" fontId="5" fillId="5" borderId="72" xfId="1" applyNumberFormat="1" applyFont="1" applyFill="1" applyBorder="1" applyAlignment="1">
      <alignment horizontal="right" vertical="center"/>
    </xf>
    <xf numFmtId="178" fontId="5" fillId="5" borderId="49" xfId="1" applyNumberFormat="1" applyFont="1" applyFill="1" applyBorder="1" applyAlignment="1">
      <alignment horizontal="right" vertical="center"/>
    </xf>
    <xf numFmtId="178" fontId="6" fillId="7" borderId="0" xfId="0" applyNumberFormat="1" applyFont="1" applyFill="1" applyBorder="1" applyAlignment="1">
      <alignment vertical="center"/>
    </xf>
    <xf numFmtId="41" fontId="19" fillId="0" borderId="0" xfId="1" applyNumberFormat="1" applyFont="1" applyBorder="1" applyAlignment="1">
      <alignment vertical="center"/>
    </xf>
    <xf numFmtId="178" fontId="22" fillId="9" borderId="33" xfId="0" applyNumberFormat="1" applyFont="1" applyFill="1" applyBorder="1" applyAlignment="1">
      <alignment vertical="center" shrinkToFit="1"/>
    </xf>
    <xf numFmtId="3" fontId="6" fillId="6" borderId="73" xfId="1" applyNumberFormat="1" applyFont="1" applyFill="1" applyBorder="1" applyAlignment="1">
      <alignment vertical="center" shrinkToFit="1"/>
    </xf>
    <xf numFmtId="3" fontId="6" fillId="7" borderId="73" xfId="1" applyNumberFormat="1" applyFont="1" applyFill="1" applyBorder="1" applyAlignment="1">
      <alignment vertical="center" shrinkToFit="1"/>
    </xf>
    <xf numFmtId="0" fontId="6" fillId="6" borderId="25" xfId="0" applyNumberFormat="1" applyFont="1" applyFill="1" applyBorder="1" applyAlignment="1">
      <alignment vertical="center" shrinkToFit="1"/>
    </xf>
    <xf numFmtId="0" fontId="6" fillId="6" borderId="49" xfId="0" applyNumberFormat="1" applyFont="1" applyFill="1" applyBorder="1" applyAlignment="1">
      <alignment vertical="center" shrinkToFit="1"/>
    </xf>
    <xf numFmtId="0" fontId="6" fillId="7" borderId="25" xfId="0" applyNumberFormat="1" applyFont="1" applyFill="1" applyBorder="1" applyAlignment="1">
      <alignment vertical="center" shrinkToFit="1"/>
    </xf>
    <xf numFmtId="0" fontId="6" fillId="7" borderId="49" xfId="0" applyNumberFormat="1" applyFont="1" applyFill="1" applyBorder="1" applyAlignment="1">
      <alignment vertical="center" shrinkToFit="1"/>
    </xf>
    <xf numFmtId="3" fontId="6" fillId="0" borderId="49" xfId="1" applyNumberFormat="1" applyFont="1" applyBorder="1" applyAlignment="1">
      <alignment horizontal="left" vertical="center" shrinkToFit="1"/>
    </xf>
    <xf numFmtId="41" fontId="5" fillId="5" borderId="74" xfId="1" applyNumberFormat="1" applyFont="1" applyFill="1" applyBorder="1" applyAlignment="1">
      <alignment horizontal="left" vertical="center"/>
    </xf>
    <xf numFmtId="178" fontId="22" fillId="5" borderId="33" xfId="1" applyNumberFormat="1" applyFont="1" applyFill="1" applyBorder="1" applyAlignment="1">
      <alignment horizontal="right" vertical="center"/>
    </xf>
    <xf numFmtId="0" fontId="6" fillId="6" borderId="26" xfId="0" applyNumberFormat="1" applyFont="1" applyFill="1" applyBorder="1" applyAlignment="1">
      <alignment vertical="center"/>
    </xf>
    <xf numFmtId="41" fontId="6" fillId="6" borderId="26" xfId="1" applyNumberFormat="1" applyFont="1" applyFill="1" applyBorder="1" applyAlignment="1">
      <alignment vertical="center"/>
    </xf>
    <xf numFmtId="178" fontId="18" fillId="6" borderId="71" xfId="0" applyNumberFormat="1" applyFont="1" applyFill="1" applyBorder="1" applyAlignment="1">
      <alignment vertical="center"/>
    </xf>
    <xf numFmtId="0" fontId="6" fillId="7" borderId="26" xfId="0" applyNumberFormat="1" applyFont="1" applyFill="1" applyBorder="1" applyAlignment="1">
      <alignment vertical="center"/>
    </xf>
    <xf numFmtId="41" fontId="6" fillId="7" borderId="26" xfId="1" applyNumberFormat="1" applyFont="1" applyFill="1" applyBorder="1" applyAlignment="1">
      <alignment vertical="center"/>
    </xf>
    <xf numFmtId="178" fontId="18" fillId="7" borderId="71" xfId="0" applyNumberFormat="1" applyFont="1" applyFill="1" applyBorder="1" applyAlignment="1">
      <alignment vertical="center"/>
    </xf>
    <xf numFmtId="41" fontId="5" fillId="9" borderId="74" xfId="1" applyNumberFormat="1" applyFont="1" applyFill="1" applyBorder="1" applyAlignment="1">
      <alignment vertical="center" shrinkToFit="1"/>
    </xf>
    <xf numFmtId="0" fontId="5" fillId="9" borderId="74" xfId="0" applyNumberFormat="1" applyFont="1" applyFill="1" applyBorder="1" applyAlignment="1">
      <alignment vertical="center" shrinkToFit="1"/>
    </xf>
    <xf numFmtId="178" fontId="22" fillId="9" borderId="72" xfId="0" applyNumberFormat="1" applyFont="1" applyFill="1" applyBorder="1" applyAlignment="1">
      <alignment vertical="center" shrinkToFit="1"/>
    </xf>
    <xf numFmtId="178" fontId="24" fillId="5" borderId="33" xfId="0" applyNumberFormat="1" applyFont="1" applyFill="1" applyBorder="1" applyAlignment="1">
      <alignment vertical="center" shrinkToFit="1"/>
    </xf>
    <xf numFmtId="0" fontId="5" fillId="5" borderId="0" xfId="0" applyNumberFormat="1" applyFont="1" applyFill="1" applyBorder="1" applyAlignment="1">
      <alignment horizontal="center" vertical="center" shrinkToFit="1"/>
    </xf>
    <xf numFmtId="41" fontId="5" fillId="5" borderId="26" xfId="1" applyNumberFormat="1" applyFont="1" applyFill="1" applyBorder="1" applyAlignment="1">
      <alignment vertical="center" shrinkToFit="1"/>
    </xf>
    <xf numFmtId="178" fontId="22" fillId="5" borderId="71" xfId="0" applyNumberFormat="1" applyFont="1" applyFill="1" applyBorder="1" applyAlignment="1">
      <alignment vertical="center" shrinkToFit="1"/>
    </xf>
    <xf numFmtId="41" fontId="5" fillId="9" borderId="0" xfId="1" applyNumberFormat="1" applyFont="1" applyFill="1" applyBorder="1" applyAlignment="1">
      <alignment vertical="center" shrinkToFit="1"/>
    </xf>
    <xf numFmtId="0" fontId="5" fillId="9" borderId="0" xfId="0" applyNumberFormat="1" applyFont="1" applyFill="1" applyBorder="1" applyAlignment="1">
      <alignment vertical="center" shrinkToFit="1"/>
    </xf>
    <xf numFmtId="178" fontId="24" fillId="5" borderId="72" xfId="0" applyNumberFormat="1" applyFont="1" applyFill="1" applyBorder="1" applyAlignment="1">
      <alignment vertical="center" shrinkToFit="1"/>
    </xf>
    <xf numFmtId="0" fontId="5" fillId="0" borderId="17" xfId="0" applyNumberFormat="1" applyFont="1" applyFill="1" applyBorder="1" applyAlignment="1">
      <alignment vertical="center" shrinkToFit="1"/>
    </xf>
    <xf numFmtId="178" fontId="5" fillId="0" borderId="38" xfId="0" applyNumberFormat="1" applyFont="1" applyBorder="1" applyAlignment="1">
      <alignment vertical="center" shrinkToFit="1"/>
    </xf>
    <xf numFmtId="178" fontId="5" fillId="0" borderId="38" xfId="0" applyNumberFormat="1" applyFont="1" applyFill="1" applyBorder="1" applyAlignment="1">
      <alignment vertical="center" shrinkToFit="1"/>
    </xf>
    <xf numFmtId="178" fontId="5" fillId="0" borderId="38" xfId="1" applyNumberFormat="1" applyFont="1" applyBorder="1" applyAlignment="1">
      <alignment vertical="center"/>
    </xf>
    <xf numFmtId="41" fontId="5" fillId="0" borderId="17" xfId="1" applyNumberFormat="1" applyFont="1" applyBorder="1" applyAlignment="1">
      <alignment vertical="center" shrinkToFit="1"/>
    </xf>
    <xf numFmtId="181" fontId="5" fillId="0" borderId="17" xfId="1" quotePrefix="1" applyNumberFormat="1" applyFont="1" applyBorder="1" applyAlignment="1">
      <alignment vertical="center"/>
    </xf>
    <xf numFmtId="178" fontId="23" fillId="0" borderId="38" xfId="0" applyNumberFormat="1" applyFont="1" applyBorder="1" applyAlignment="1">
      <alignment vertical="center" shrinkToFit="1"/>
    </xf>
    <xf numFmtId="178" fontId="5" fillId="0" borderId="38" xfId="1" applyNumberFormat="1" applyFont="1" applyBorder="1" applyAlignment="1">
      <alignment horizontal="left" vertical="center"/>
    </xf>
    <xf numFmtId="41" fontId="5" fillId="5" borderId="75" xfId="1" applyNumberFormat="1" applyFont="1" applyFill="1" applyBorder="1" applyAlignment="1">
      <alignment horizontal="left" vertical="center"/>
    </xf>
    <xf numFmtId="176" fontId="5" fillId="0" borderId="21" xfId="1" applyNumberFormat="1" applyFont="1" applyBorder="1" applyAlignment="1">
      <alignment vertical="center" shrinkToFit="1"/>
    </xf>
    <xf numFmtId="176" fontId="5" fillId="6" borderId="24" xfId="1" applyNumberFormat="1" applyFont="1" applyFill="1" applyBorder="1" applyAlignment="1">
      <alignment vertical="center" shrinkToFit="1"/>
    </xf>
    <xf numFmtId="176" fontId="5" fillId="7" borderId="17" xfId="1" applyNumberFormat="1" applyFont="1" applyFill="1" applyBorder="1" applyAlignment="1">
      <alignment vertical="center" shrinkToFit="1"/>
    </xf>
    <xf numFmtId="176" fontId="5" fillId="5" borderId="17" xfId="1" applyNumberFormat="1" applyFont="1" applyFill="1" applyBorder="1" applyAlignment="1">
      <alignment vertical="center" shrinkToFit="1"/>
    </xf>
    <xf numFmtId="176" fontId="5" fillId="0" borderId="17" xfId="1" applyNumberFormat="1" applyFont="1" applyFill="1" applyBorder="1" applyAlignment="1">
      <alignment vertical="center" shrinkToFit="1"/>
    </xf>
    <xf numFmtId="176" fontId="5" fillId="6" borderId="17" xfId="1" applyNumberFormat="1" applyFont="1" applyFill="1" applyBorder="1" applyAlignment="1">
      <alignment vertical="center" shrinkToFit="1"/>
    </xf>
    <xf numFmtId="176" fontId="5" fillId="8" borderId="19" xfId="0" applyNumberFormat="1" applyFont="1" applyFill="1" applyBorder="1" applyAlignment="1">
      <alignment horizontal="right" vertical="center"/>
    </xf>
    <xf numFmtId="41" fontId="6" fillId="0" borderId="76" xfId="0" applyNumberFormat="1" applyFont="1" applyBorder="1" applyAlignment="1">
      <alignment horizontal="center" vertical="center" wrapText="1"/>
    </xf>
    <xf numFmtId="41" fontId="5" fillId="6" borderId="77" xfId="1" applyNumberFormat="1" applyFont="1" applyFill="1" applyBorder="1" applyAlignment="1">
      <alignment horizontal="right" vertical="center" shrinkToFit="1"/>
    </xf>
    <xf numFmtId="41" fontId="5" fillId="7" borderId="22" xfId="1" applyNumberFormat="1" applyFont="1" applyFill="1" applyBorder="1" applyAlignment="1">
      <alignment horizontal="right" vertical="center" shrinkToFit="1"/>
    </xf>
    <xf numFmtId="41" fontId="5" fillId="0" borderId="22" xfId="1" applyNumberFormat="1" applyFont="1" applyBorder="1" applyAlignment="1">
      <alignment horizontal="right" vertical="center" shrinkToFit="1"/>
    </xf>
    <xf numFmtId="41" fontId="5" fillId="5" borderId="22" xfId="1" applyNumberFormat="1" applyFont="1" applyFill="1" applyBorder="1" applyAlignment="1">
      <alignment horizontal="right" vertical="center" shrinkToFit="1"/>
    </xf>
    <xf numFmtId="41" fontId="5" fillId="0" borderId="22" xfId="0" applyNumberFormat="1" applyFont="1" applyBorder="1" applyAlignment="1">
      <alignment vertical="center" shrinkToFit="1"/>
    </xf>
    <xf numFmtId="41" fontId="5" fillId="7" borderId="22" xfId="0" applyNumberFormat="1" applyFont="1" applyFill="1" applyBorder="1" applyAlignment="1">
      <alignment vertical="center" shrinkToFit="1"/>
    </xf>
    <xf numFmtId="41" fontId="5" fillId="6" borderId="22" xfId="0" applyNumberFormat="1" applyFont="1" applyFill="1" applyBorder="1" applyAlignment="1">
      <alignment vertical="center" shrinkToFit="1"/>
    </xf>
    <xf numFmtId="41" fontId="6" fillId="0" borderId="78" xfId="0" applyNumberFormat="1" applyFont="1" applyBorder="1" applyAlignment="1">
      <alignment horizontal="center" vertical="center" wrapText="1"/>
    </xf>
    <xf numFmtId="41" fontId="5" fillId="0" borderId="63" xfId="1" applyNumberFormat="1" applyFont="1" applyBorder="1" applyAlignment="1">
      <alignment horizontal="right" vertical="center" shrinkToFit="1"/>
    </xf>
    <xf numFmtId="41" fontId="5" fillId="0" borderId="38" xfId="1" applyNumberFormat="1" applyFont="1" applyBorder="1" applyAlignment="1">
      <alignment horizontal="right" vertical="center" shrinkToFit="1"/>
    </xf>
    <xf numFmtId="41" fontId="5" fillId="5" borderId="38" xfId="1" applyNumberFormat="1" applyFont="1" applyFill="1" applyBorder="1" applyAlignment="1">
      <alignment horizontal="right" vertical="center" shrinkToFit="1"/>
    </xf>
    <xf numFmtId="41" fontId="5" fillId="7" borderId="38" xfId="0" applyNumberFormat="1" applyFont="1" applyFill="1" applyBorder="1" applyAlignment="1">
      <alignment vertical="center" shrinkToFit="1"/>
    </xf>
    <xf numFmtId="41" fontId="5" fillId="6" borderId="38" xfId="0" applyNumberFormat="1" applyFont="1" applyFill="1" applyBorder="1" applyAlignment="1">
      <alignment vertical="center" shrinkToFit="1"/>
    </xf>
    <xf numFmtId="176" fontId="5" fillId="0" borderId="79" xfId="1" applyNumberFormat="1" applyFont="1" applyBorder="1" applyAlignment="1">
      <alignment horizontal="right" vertical="center" shrinkToFit="1"/>
    </xf>
    <xf numFmtId="176" fontId="5" fillId="6" borderId="65" xfId="1" applyNumberFormat="1" applyFont="1" applyFill="1" applyBorder="1" applyAlignment="1">
      <alignment horizontal="right" vertical="center" shrinkToFit="1"/>
    </xf>
    <xf numFmtId="179" fontId="5" fillId="0" borderId="80" xfId="1" applyNumberFormat="1" applyFont="1" applyBorder="1" applyAlignment="1">
      <alignment horizontal="right" vertical="center" shrinkToFit="1"/>
    </xf>
    <xf numFmtId="179" fontId="5" fillId="6" borderId="81" xfId="1" applyNumberFormat="1" applyFont="1" applyFill="1" applyBorder="1" applyAlignment="1">
      <alignment horizontal="right" vertical="center" shrinkToFit="1"/>
    </xf>
    <xf numFmtId="179" fontId="5" fillId="7" borderId="73" xfId="1" applyNumberFormat="1" applyFont="1" applyFill="1" applyBorder="1" applyAlignment="1">
      <alignment horizontal="right" vertical="center" shrinkToFit="1"/>
    </xf>
    <xf numFmtId="179" fontId="5" fillId="0" borderId="73" xfId="1" applyNumberFormat="1" applyFont="1" applyFill="1" applyBorder="1" applyAlignment="1">
      <alignment horizontal="right" vertical="center" shrinkToFit="1"/>
    </xf>
    <xf numFmtId="179" fontId="5" fillId="5" borderId="73" xfId="1" applyNumberFormat="1" applyFont="1" applyFill="1" applyBorder="1" applyAlignment="1">
      <alignment horizontal="right" vertical="center" shrinkToFit="1"/>
    </xf>
    <xf numFmtId="179" fontId="5" fillId="6" borderId="73" xfId="1" applyNumberFormat="1" applyFont="1" applyFill="1" applyBorder="1" applyAlignment="1">
      <alignment horizontal="right" vertical="center" shrinkToFit="1"/>
    </xf>
    <xf numFmtId="179" fontId="5" fillId="8" borderId="82" xfId="0" applyNumberFormat="1" applyFont="1" applyFill="1" applyBorder="1" applyAlignment="1">
      <alignment vertical="center" shrinkToFit="1"/>
    </xf>
    <xf numFmtId="41" fontId="5" fillId="8" borderId="83" xfId="0" applyNumberFormat="1" applyFont="1" applyFill="1" applyBorder="1" applyAlignment="1">
      <alignment vertical="center" shrinkToFit="1"/>
    </xf>
    <xf numFmtId="41" fontId="5" fillId="8" borderId="44" xfId="0" applyNumberFormat="1" applyFont="1" applyFill="1" applyBorder="1" applyAlignment="1">
      <alignment vertical="center" shrinkToFit="1"/>
    </xf>
    <xf numFmtId="41" fontId="4" fillId="0" borderId="72" xfId="1" applyNumberFormat="1" applyFont="1" applyBorder="1" applyAlignment="1">
      <alignment horizontal="right" vertical="center" readingOrder="1"/>
    </xf>
    <xf numFmtId="41" fontId="4" fillId="0" borderId="49" xfId="1" applyNumberFormat="1" applyFont="1" applyBorder="1" applyAlignment="1">
      <alignment horizontal="right" vertical="center" readingOrder="1"/>
    </xf>
    <xf numFmtId="0" fontId="4" fillId="0" borderId="84" xfId="0" applyNumberFormat="1" applyFont="1" applyBorder="1" applyAlignment="1">
      <alignment horizontal="distributed" vertical="center" readingOrder="1"/>
    </xf>
    <xf numFmtId="41" fontId="4" fillId="0" borderId="48" xfId="0" applyNumberFormat="1" applyFont="1" applyBorder="1" applyAlignment="1">
      <alignment horizontal="distributed" vertical="center" readingOrder="1"/>
    </xf>
    <xf numFmtId="0" fontId="4" fillId="8" borderId="0" xfId="0" applyNumberFormat="1" applyFont="1" applyFill="1" applyBorder="1" applyAlignment="1">
      <alignment horizontal="distributed" vertical="center" readingOrder="1"/>
    </xf>
    <xf numFmtId="41" fontId="4" fillId="8" borderId="46" xfId="0" applyNumberFormat="1" applyFont="1" applyFill="1" applyBorder="1" applyAlignment="1">
      <alignment horizontal="distributed" vertical="center" readingOrder="1"/>
    </xf>
    <xf numFmtId="41" fontId="4" fillId="0" borderId="36" xfId="1" applyNumberFormat="1" applyFont="1" applyBorder="1" applyAlignment="1">
      <alignment horizontal="right" vertical="center" readingOrder="1"/>
    </xf>
    <xf numFmtId="0" fontId="4" fillId="8" borderId="85" xfId="0" applyNumberFormat="1" applyFont="1" applyFill="1" applyBorder="1" applyAlignment="1">
      <alignment horizontal="distributed" vertical="center" readingOrder="1"/>
    </xf>
    <xf numFmtId="0" fontId="4" fillId="8" borderId="52" xfId="0" applyNumberFormat="1" applyFont="1" applyFill="1" applyBorder="1" applyAlignment="1">
      <alignment horizontal="distributed" vertical="center" readingOrder="1"/>
    </xf>
    <xf numFmtId="41" fontId="4" fillId="8" borderId="35" xfId="0" applyNumberFormat="1" applyFont="1" applyFill="1" applyBorder="1" applyAlignment="1">
      <alignment horizontal="right" vertical="center" readingOrder="1"/>
    </xf>
    <xf numFmtId="41" fontId="4" fillId="8" borderId="86" xfId="0" applyNumberFormat="1" applyFont="1" applyFill="1" applyBorder="1" applyAlignment="1">
      <alignment horizontal="right" vertical="center" readingOrder="1"/>
    </xf>
    <xf numFmtId="0" fontId="8" fillId="0" borderId="87" xfId="0" applyNumberFormat="1" applyFont="1" applyBorder="1" applyAlignment="1">
      <alignment horizontal="center" vertical="center"/>
    </xf>
    <xf numFmtId="0" fontId="8" fillId="8" borderId="88" xfId="0" applyNumberFormat="1" applyFont="1" applyFill="1" applyBorder="1" applyAlignment="1">
      <alignment horizontal="center" vertical="center"/>
    </xf>
    <xf numFmtId="0" fontId="8" fillId="8" borderId="88" xfId="0" applyNumberFormat="1" applyFont="1" applyFill="1" applyBorder="1" applyAlignment="1">
      <alignment horizontal="center" vertical="center" shrinkToFit="1"/>
    </xf>
    <xf numFmtId="41" fontId="8" fillId="8" borderId="88" xfId="1" applyNumberFormat="1" applyFont="1" applyFill="1" applyBorder="1" applyAlignment="1">
      <alignment vertical="center" shrinkToFit="1"/>
    </xf>
    <xf numFmtId="41" fontId="8" fillId="0" borderId="17" xfId="0" applyNumberFormat="1" applyFont="1" applyBorder="1" applyAlignment="1">
      <alignment vertical="center"/>
    </xf>
    <xf numFmtId="41" fontId="8" fillId="8" borderId="88" xfId="0" applyNumberFormat="1" applyFont="1" applyFill="1" applyBorder="1" applyAlignment="1">
      <alignment vertical="center"/>
    </xf>
    <xf numFmtId="180" fontId="12" fillId="0" borderId="21" xfId="4" applyNumberFormat="1" applyFont="1" applyBorder="1" applyAlignment="1">
      <alignment horizontal="right" vertical="center" shrinkToFit="1"/>
    </xf>
    <xf numFmtId="180" fontId="8" fillId="6" borderId="81" xfId="4" applyNumberFormat="1" applyFont="1" applyFill="1" applyBorder="1" applyAlignment="1">
      <alignment horizontal="right" vertical="center" shrinkToFit="1"/>
    </xf>
    <xf numFmtId="180" fontId="8" fillId="7" borderId="73" xfId="4" applyNumberFormat="1" applyFont="1" applyFill="1" applyBorder="1" applyAlignment="1">
      <alignment horizontal="right" vertical="center" shrinkToFit="1"/>
    </xf>
    <xf numFmtId="180" fontId="8" fillId="0" borderId="73" xfId="4" applyNumberFormat="1" applyFont="1" applyFill="1" applyBorder="1" applyAlignment="1">
      <alignment horizontal="right" vertical="center" shrinkToFit="1"/>
    </xf>
    <xf numFmtId="180" fontId="8" fillId="6" borderId="73" xfId="4" applyNumberFormat="1" applyFont="1" applyFill="1" applyBorder="1" applyAlignment="1">
      <alignment horizontal="right" vertical="center" shrinkToFit="1"/>
    </xf>
    <xf numFmtId="180" fontId="8" fillId="7" borderId="73" xfId="0" applyNumberFormat="1" applyFont="1" applyFill="1" applyBorder="1" applyAlignment="1">
      <alignment vertical="center"/>
    </xf>
    <xf numFmtId="180" fontId="8" fillId="0" borderId="73" xfId="0" applyNumberFormat="1" applyFont="1" applyFill="1" applyBorder="1" applyAlignment="1">
      <alignment horizontal="right" vertical="center" shrinkToFit="1"/>
    </xf>
    <xf numFmtId="180" fontId="8" fillId="6" borderId="73" xfId="0" applyNumberFormat="1" applyFont="1" applyFill="1" applyBorder="1" applyAlignment="1">
      <alignment horizontal="right" vertical="center" shrinkToFit="1"/>
    </xf>
    <xf numFmtId="180" fontId="8" fillId="7" borderId="73" xfId="0" applyNumberFormat="1" applyFont="1" applyFill="1" applyBorder="1" applyAlignment="1">
      <alignment horizontal="right" vertical="center" shrinkToFit="1"/>
    </xf>
    <xf numFmtId="180" fontId="8" fillId="0" borderId="73" xfId="0" applyNumberFormat="1" applyFont="1" applyFill="1" applyBorder="1" applyAlignment="1">
      <alignment vertical="center"/>
    </xf>
    <xf numFmtId="180" fontId="8" fillId="0" borderId="73" xfId="4" applyNumberFormat="1" applyFont="1" applyFill="1" applyBorder="1" applyAlignment="1">
      <alignment vertical="center" shrinkToFit="1"/>
    </xf>
    <xf numFmtId="180" fontId="8" fillId="0" borderId="73" xfId="4" applyNumberFormat="1" applyFont="1" applyBorder="1" applyAlignment="1">
      <alignment vertical="center" shrinkToFit="1"/>
    </xf>
    <xf numFmtId="180" fontId="8" fillId="6" borderId="73" xfId="0" applyNumberFormat="1" applyFont="1" applyFill="1" applyBorder="1" applyAlignment="1">
      <alignment vertical="center"/>
    </xf>
    <xf numFmtId="179" fontId="21" fillId="0" borderId="80" xfId="1" applyNumberFormat="1" applyFont="1" applyBorder="1" applyAlignment="1">
      <alignment vertical="center" shrinkToFit="1"/>
    </xf>
    <xf numFmtId="179" fontId="7" fillId="6" borderId="24" xfId="1" applyNumberFormat="1" applyFont="1" applyFill="1" applyBorder="1" applyAlignment="1">
      <alignment vertical="center" shrinkToFit="1"/>
    </xf>
    <xf numFmtId="179" fontId="7" fillId="7" borderId="17" xfId="1" applyNumberFormat="1" applyFont="1" applyFill="1" applyBorder="1" applyAlignment="1">
      <alignment vertical="center" shrinkToFit="1"/>
    </xf>
    <xf numFmtId="179" fontId="7" fillId="0" borderId="17" xfId="1" applyNumberFormat="1" applyFont="1" applyFill="1" applyBorder="1" applyAlignment="1">
      <alignment vertical="center" shrinkToFit="1"/>
    </xf>
    <xf numFmtId="179" fontId="7" fillId="7" borderId="17" xfId="1" applyNumberFormat="1" applyFont="1" applyFill="1" applyBorder="1" applyAlignment="1">
      <alignment horizontal="right" vertical="center" shrinkToFit="1"/>
    </xf>
    <xf numFmtId="179" fontId="7" fillId="0" borderId="17" xfId="1" applyNumberFormat="1" applyFont="1" applyFill="1" applyBorder="1" applyAlignment="1">
      <alignment horizontal="right" vertical="center" shrinkToFit="1"/>
    </xf>
    <xf numFmtId="179" fontId="7" fillId="6" borderId="17" xfId="1" applyNumberFormat="1" applyFont="1" applyFill="1" applyBorder="1" applyAlignment="1">
      <alignment vertical="center" shrinkToFit="1"/>
    </xf>
    <xf numFmtId="179" fontId="7" fillId="0" borderId="17" xfId="1" applyNumberFormat="1" applyFont="1" applyBorder="1" applyAlignment="1">
      <alignment vertical="center"/>
    </xf>
    <xf numFmtId="179" fontId="7" fillId="7" borderId="17" xfId="1" applyNumberFormat="1" applyFont="1" applyFill="1" applyBorder="1" applyAlignment="1">
      <alignment vertical="center"/>
    </xf>
    <xf numFmtId="179" fontId="7" fillId="6" borderId="17" xfId="1" applyNumberFormat="1" applyFont="1" applyFill="1" applyBorder="1" applyAlignment="1">
      <alignment vertical="center"/>
    </xf>
    <xf numFmtId="41" fontId="8" fillId="0" borderId="19" xfId="0" applyNumberFormat="1" applyFont="1" applyFill="1" applyBorder="1" applyAlignment="1">
      <alignment horizontal="right" vertical="center" shrinkToFit="1"/>
    </xf>
    <xf numFmtId="41" fontId="7" fillId="0" borderId="17" xfId="1" applyNumberFormat="1" applyFont="1" applyFill="1" applyBorder="1" applyAlignment="1">
      <alignment vertical="center" shrinkToFit="1"/>
    </xf>
    <xf numFmtId="176" fontId="8" fillId="0" borderId="73" xfId="4" applyNumberFormat="1" applyFont="1" applyFill="1" applyBorder="1" applyAlignment="1">
      <alignment horizontal="left" vertical="center" shrinkToFit="1"/>
    </xf>
    <xf numFmtId="176" fontId="8" fillId="6" borderId="81" xfId="4" applyNumberFormat="1" applyFont="1" applyFill="1" applyBorder="1" applyAlignment="1">
      <alignment horizontal="left" vertical="center" shrinkToFit="1"/>
    </xf>
    <xf numFmtId="176" fontId="8" fillId="7" borderId="73" xfId="4" applyNumberFormat="1" applyFont="1" applyFill="1" applyBorder="1" applyAlignment="1">
      <alignment horizontal="left" vertical="center" shrinkToFit="1"/>
    </xf>
    <xf numFmtId="176" fontId="8" fillId="6" borderId="73" xfId="4" applyNumberFormat="1" applyFont="1" applyFill="1" applyBorder="1" applyAlignment="1">
      <alignment horizontal="left" vertical="center" shrinkToFit="1"/>
    </xf>
    <xf numFmtId="0" fontId="8" fillId="7" borderId="73" xfId="0" applyNumberFormat="1" applyFont="1" applyFill="1" applyBorder="1" applyAlignment="1">
      <alignment horizontal="left" vertical="center"/>
    </xf>
    <xf numFmtId="0" fontId="8" fillId="0" borderId="68" xfId="0" applyNumberFormat="1" applyFont="1" applyBorder="1" applyAlignment="1">
      <alignment horizontal="left" vertical="center"/>
    </xf>
    <xf numFmtId="176" fontId="8" fillId="0" borderId="73" xfId="4" applyNumberFormat="1" applyFont="1" applyFill="1" applyBorder="1" applyAlignment="1">
      <alignment horizontal="left" vertical="center" wrapText="1" shrinkToFit="1"/>
    </xf>
    <xf numFmtId="49" fontId="13" fillId="2" borderId="16" xfId="1" applyNumberFormat="1" applyFont="1" applyFill="1" applyBorder="1" applyAlignment="1">
      <alignment horizontal="center" vertical="center" wrapText="1"/>
    </xf>
    <xf numFmtId="0" fontId="13" fillId="0" borderId="13" xfId="0" applyNumberFormat="1" applyFont="1" applyBorder="1" applyAlignment="1">
      <alignment horizontal="center" vertical="center"/>
    </xf>
    <xf numFmtId="0" fontId="6" fillId="5" borderId="2" xfId="0" applyNumberFormat="1" applyFont="1" applyFill="1" applyBorder="1" applyAlignment="1">
      <alignment horizontal="center" vertical="center" shrinkToFit="1"/>
    </xf>
    <xf numFmtId="41" fontId="5" fillId="5" borderId="2" xfId="0" applyNumberFormat="1" applyFont="1" applyFill="1" applyBorder="1" applyAlignment="1">
      <alignment horizontal="center" vertical="center"/>
    </xf>
    <xf numFmtId="41" fontId="5" fillId="5" borderId="2" xfId="0" applyNumberFormat="1" applyFont="1" applyFill="1" applyBorder="1" applyAlignment="1">
      <alignment vertical="center"/>
    </xf>
    <xf numFmtId="176" fontId="5" fillId="5" borderId="2" xfId="1" applyNumberFormat="1" applyFont="1" applyFill="1" applyBorder="1" applyAlignment="1">
      <alignment vertical="center" shrinkToFit="1"/>
    </xf>
    <xf numFmtId="179" fontId="5" fillId="5" borderId="89" xfId="1" applyNumberFormat="1" applyFont="1" applyFill="1" applyBorder="1" applyAlignment="1">
      <alignment horizontal="right" vertical="center" shrinkToFit="1"/>
    </xf>
    <xf numFmtId="0" fontId="4" fillId="0" borderId="52" xfId="0" applyNumberFormat="1" applyFont="1" applyFill="1" applyBorder="1" applyAlignment="1">
      <alignment horizontal="distributed" vertical="center" readingOrder="1"/>
    </xf>
    <xf numFmtId="41" fontId="4" fillId="0" borderId="35" xfId="0" applyNumberFormat="1" applyFont="1" applyFill="1" applyBorder="1" applyAlignment="1">
      <alignment horizontal="right" vertical="center" readingOrder="1"/>
    </xf>
    <xf numFmtId="0" fontId="23" fillId="0" borderId="0" xfId="5" applyNumberFormat="1" applyFont="1"/>
    <xf numFmtId="0" fontId="13" fillId="0" borderId="0" xfId="5" applyNumberFormat="1" applyFont="1"/>
    <xf numFmtId="49" fontId="25" fillId="10" borderId="90" xfId="0" applyNumberFormat="1" applyFont="1" applyFill="1" applyBorder="1" applyAlignment="1">
      <alignment horizontal="center" vertical="center" wrapText="1"/>
    </xf>
    <xf numFmtId="49" fontId="25" fillId="10" borderId="91" xfId="0" applyNumberFormat="1" applyFont="1" applyFill="1" applyBorder="1" applyAlignment="1">
      <alignment horizontal="center" vertical="center" wrapText="1"/>
    </xf>
    <xf numFmtId="0" fontId="26" fillId="0" borderId="92" xfId="0" applyNumberFormat="1" applyFont="1" applyFill="1" applyBorder="1" applyAlignment="1">
      <alignment horizontal="center" vertical="center" wrapText="1"/>
    </xf>
    <xf numFmtId="0" fontId="26" fillId="0" borderId="92" xfId="0" quotePrefix="1" applyNumberFormat="1" applyFont="1" applyFill="1" applyBorder="1" applyAlignment="1">
      <alignment horizontal="center" vertical="center" wrapText="1"/>
    </xf>
    <xf numFmtId="3" fontId="26" fillId="0" borderId="92" xfId="0" applyNumberFormat="1" applyFont="1" applyFill="1" applyBorder="1" applyAlignment="1">
      <alignment horizontal="right" vertical="center" wrapText="1"/>
    </xf>
    <xf numFmtId="0" fontId="26" fillId="0" borderId="93" xfId="0" applyNumberFormat="1" applyFont="1" applyFill="1" applyBorder="1" applyAlignment="1">
      <alignment horizontal="center" vertical="center" wrapText="1"/>
    </xf>
    <xf numFmtId="0" fontId="26" fillId="0" borderId="94" xfId="0" applyNumberFormat="1" applyFont="1" applyBorder="1" applyAlignment="1">
      <alignment horizontal="center"/>
    </xf>
    <xf numFmtId="0" fontId="26" fillId="0" borderId="95" xfId="0" applyNumberFormat="1" applyFont="1" applyFill="1" applyBorder="1" applyAlignment="1">
      <alignment horizontal="center" vertical="center" wrapText="1"/>
    </xf>
    <xf numFmtId="0" fontId="26" fillId="0" borderId="92" xfId="0" applyNumberFormat="1" applyFont="1" applyFill="1" applyBorder="1" applyAlignment="1">
      <alignment horizontal="right" vertical="center" wrapText="1"/>
    </xf>
    <xf numFmtId="0" fontId="27" fillId="11" borderId="96" xfId="0" applyNumberFormat="1" applyFont="1" applyFill="1" applyBorder="1" applyAlignment="1">
      <alignment horizontal="center" vertical="center" wrapText="1"/>
    </xf>
    <xf numFmtId="0" fontId="27" fillId="11" borderId="97" xfId="0" applyNumberFormat="1" applyFont="1" applyFill="1" applyBorder="1" applyAlignment="1">
      <alignment horizontal="center" vertical="center" wrapText="1"/>
    </xf>
    <xf numFmtId="0" fontId="27" fillId="11" borderId="98" xfId="0" quotePrefix="1" applyNumberFormat="1" applyFont="1" applyFill="1" applyBorder="1" applyAlignment="1">
      <alignment horizontal="center" vertical="center" wrapText="1"/>
    </xf>
    <xf numFmtId="3" fontId="27" fillId="11" borderId="92" xfId="0" applyNumberFormat="1" applyFont="1" applyFill="1" applyBorder="1" applyAlignment="1">
      <alignment horizontal="right" vertical="center" wrapText="1"/>
    </xf>
    <xf numFmtId="0" fontId="27" fillId="11" borderId="93" xfId="0" applyNumberFormat="1" applyFont="1" applyFill="1" applyBorder="1" applyAlignment="1">
      <alignment horizontal="center" vertical="center" wrapText="1"/>
    </xf>
    <xf numFmtId="0" fontId="27" fillId="11" borderId="94" xfId="0" applyNumberFormat="1" applyFont="1" applyFill="1" applyBorder="1" applyAlignment="1">
      <alignment horizontal="center"/>
    </xf>
    <xf numFmtId="176" fontId="25" fillId="4" borderId="95" xfId="0" applyNumberFormat="1" applyFont="1" applyFill="1" applyBorder="1" applyAlignment="1">
      <alignment horizontal="right" vertical="center" wrapText="1"/>
    </xf>
    <xf numFmtId="0" fontId="23" fillId="0" borderId="0" xfId="5" applyNumberFormat="1" applyFont="1" applyAlignment="1">
      <alignment horizontal="center"/>
    </xf>
    <xf numFmtId="41" fontId="26" fillId="0" borderId="92" xfId="1" applyNumberFormat="1" applyFont="1" applyFill="1" applyBorder="1" applyAlignment="1">
      <alignment horizontal="right" vertical="center" wrapText="1"/>
    </xf>
    <xf numFmtId="0" fontId="28" fillId="0" borderId="0" xfId="6" applyNumberFormat="1" applyFont="1" applyBorder="1" applyAlignment="1">
      <alignment vertical="center" wrapText="1"/>
    </xf>
    <xf numFmtId="0" fontId="28" fillId="0" borderId="0" xfId="6" applyNumberFormat="1" applyFont="1" applyBorder="1" applyAlignment="1">
      <alignment vertical="center"/>
    </xf>
    <xf numFmtId="41" fontId="3" fillId="0" borderId="0" xfId="7" applyNumberFormat="1" applyBorder="1">
      <alignment vertical="center"/>
    </xf>
    <xf numFmtId="0" fontId="3" fillId="0" borderId="0" xfId="6" applyNumberFormat="1" applyFont="1" applyBorder="1" applyAlignment="1">
      <alignment vertical="center"/>
    </xf>
    <xf numFmtId="41" fontId="3" fillId="0" borderId="0" xfId="3" applyNumberFormat="1" applyFont="1" applyBorder="1" applyAlignment="1">
      <alignment vertical="center"/>
    </xf>
    <xf numFmtId="0" fontId="3" fillId="0" borderId="0" xfId="6" applyNumberFormat="1" applyFont="1" applyAlignment="1">
      <alignment vertical="center"/>
    </xf>
    <xf numFmtId="41" fontId="29" fillId="0" borderId="0" xfId="7" applyNumberFormat="1" applyFont="1" applyBorder="1" applyAlignment="1">
      <alignment horizontal="center"/>
    </xf>
    <xf numFmtId="0" fontId="29" fillId="0" borderId="0" xfId="6" applyNumberFormat="1" applyFont="1" applyBorder="1" applyAlignment="1">
      <alignment horizontal="center"/>
    </xf>
    <xf numFmtId="41" fontId="29" fillId="0" borderId="0" xfId="3" applyNumberFormat="1" applyFont="1" applyBorder="1" applyAlignment="1">
      <alignment horizontal="center"/>
    </xf>
    <xf numFmtId="0" fontId="29" fillId="0" borderId="0" xfId="6" applyNumberFormat="1" applyFont="1" applyAlignment="1">
      <alignment horizontal="center"/>
    </xf>
    <xf numFmtId="0" fontId="28" fillId="0" borderId="99" xfId="6" applyNumberFormat="1" applyFont="1" applyBorder="1" applyAlignment="1">
      <alignment horizontal="center" vertical="center" wrapText="1"/>
    </xf>
    <xf numFmtId="0" fontId="28" fillId="0" borderId="99" xfId="6" applyNumberFormat="1" applyFont="1" applyBorder="1" applyAlignment="1">
      <alignment horizontal="center" vertical="center" shrinkToFit="1"/>
    </xf>
    <xf numFmtId="0" fontId="28" fillId="0" borderId="99" xfId="6" applyNumberFormat="1" applyFont="1" applyBorder="1" applyAlignment="1">
      <alignment vertical="center"/>
    </xf>
    <xf numFmtId="41" fontId="28" fillId="0" borderId="0" xfId="7" applyNumberFormat="1" applyFont="1" applyBorder="1">
      <alignment vertical="center"/>
    </xf>
    <xf numFmtId="41" fontId="28" fillId="0" borderId="0" xfId="3" applyNumberFormat="1" applyFont="1" applyBorder="1" applyAlignment="1">
      <alignment vertical="center"/>
    </xf>
    <xf numFmtId="0" fontId="28" fillId="0" borderId="0" xfId="6" applyNumberFormat="1" applyFont="1" applyAlignment="1">
      <alignment vertical="center"/>
    </xf>
    <xf numFmtId="0" fontId="14" fillId="10" borderId="100" xfId="6" applyNumberFormat="1" applyFont="1" applyFill="1" applyBorder="1" applyAlignment="1">
      <alignment horizontal="center" vertical="center" wrapText="1"/>
    </xf>
    <xf numFmtId="0" fontId="14" fillId="10" borderId="101" xfId="6" applyNumberFormat="1" applyFont="1" applyFill="1" applyBorder="1" applyAlignment="1">
      <alignment horizontal="center" vertical="center" wrapText="1"/>
    </xf>
    <xf numFmtId="0" fontId="14" fillId="10" borderId="102" xfId="6" applyNumberFormat="1" applyFont="1" applyFill="1" applyBorder="1" applyAlignment="1">
      <alignment horizontal="center" vertical="center" wrapText="1"/>
    </xf>
    <xf numFmtId="41" fontId="28" fillId="0" borderId="0" xfId="7" applyNumberFormat="1" applyFont="1" applyBorder="1" applyAlignment="1">
      <alignment horizontal="center" vertical="center" wrapText="1"/>
    </xf>
    <xf numFmtId="0" fontId="28" fillId="0" borderId="0" xfId="6" applyNumberFormat="1" applyFont="1" applyBorder="1" applyAlignment="1">
      <alignment horizontal="center" vertical="center" wrapText="1"/>
    </xf>
    <xf numFmtId="41" fontId="28" fillId="0" borderId="0" xfId="3" applyNumberFormat="1" applyFont="1" applyBorder="1" applyAlignment="1">
      <alignment horizontal="center" vertical="center" wrapText="1"/>
    </xf>
    <xf numFmtId="0" fontId="28" fillId="0" borderId="0" xfId="6" applyNumberFormat="1" applyFont="1" applyAlignment="1">
      <alignment horizontal="center" vertical="center" wrapText="1"/>
    </xf>
    <xf numFmtId="0" fontId="26" fillId="0" borderId="103" xfId="6" applyNumberFormat="1" applyFont="1" applyBorder="1" applyAlignment="1">
      <alignment horizontal="center" vertical="center" wrapText="1"/>
    </xf>
    <xf numFmtId="41" fontId="26" fillId="0" borderId="104" xfId="7" applyNumberFormat="1" applyFont="1" applyBorder="1" applyAlignment="1">
      <alignment horizontal="center" vertical="center" shrinkToFit="1"/>
    </xf>
    <xf numFmtId="41" fontId="30" fillId="0" borderId="0" xfId="7" applyNumberFormat="1" applyFont="1" applyBorder="1" applyAlignment="1">
      <alignment horizontal="center" vertical="center"/>
    </xf>
    <xf numFmtId="0" fontId="30" fillId="0" borderId="0" xfId="6" applyNumberFormat="1" applyFont="1" applyBorder="1" applyAlignment="1">
      <alignment horizontal="center" vertical="center"/>
    </xf>
    <xf numFmtId="41" fontId="30" fillId="0" borderId="0" xfId="3" applyNumberFormat="1" applyFont="1" applyBorder="1" applyAlignment="1">
      <alignment horizontal="center" vertical="center"/>
    </xf>
    <xf numFmtId="0" fontId="30" fillId="0" borderId="0" xfId="6" applyNumberFormat="1" applyFont="1" applyAlignment="1">
      <alignment horizontal="center" vertical="center"/>
    </xf>
    <xf numFmtId="0" fontId="26" fillId="0" borderId="105" xfId="6" applyNumberFormat="1" applyFont="1" applyBorder="1" applyAlignment="1">
      <alignment horizontal="center" vertical="center" wrapText="1"/>
    </xf>
    <xf numFmtId="41" fontId="26" fillId="0" borderId="13" xfId="7" applyNumberFormat="1" applyFont="1" applyBorder="1" applyAlignment="1">
      <alignment vertical="center" shrinkToFit="1"/>
    </xf>
    <xf numFmtId="41" fontId="26" fillId="0" borderId="13" xfId="7" applyNumberFormat="1" applyFont="1" applyBorder="1" applyAlignment="1">
      <alignment horizontal="center" vertical="center" shrinkToFit="1"/>
    </xf>
    <xf numFmtId="0" fontId="26" fillId="0" borderId="106" xfId="6" applyNumberFormat="1" applyFont="1" applyBorder="1" applyAlignment="1">
      <alignment horizontal="center" vertical="center" shrinkToFit="1"/>
    </xf>
    <xf numFmtId="0" fontId="14" fillId="3" borderId="107" xfId="6" applyNumberFormat="1" applyFont="1" applyFill="1" applyBorder="1" applyAlignment="1">
      <alignment horizontal="center" vertical="center" shrinkToFit="1"/>
    </xf>
    <xf numFmtId="41" fontId="14" fillId="3" borderId="108" xfId="7" applyNumberFormat="1" applyFont="1" applyFill="1" applyBorder="1" applyAlignment="1">
      <alignment vertical="center"/>
    </xf>
    <xf numFmtId="41" fontId="14" fillId="3" borderId="108" xfId="7" applyNumberFormat="1" applyFont="1" applyFill="1" applyBorder="1" applyAlignment="1">
      <alignment horizontal="center" vertical="center" shrinkToFit="1"/>
    </xf>
    <xf numFmtId="0" fontId="14" fillId="3" borderId="109" xfId="6" applyNumberFormat="1" applyFont="1" applyFill="1" applyBorder="1" applyAlignment="1">
      <alignment vertical="center" shrinkToFit="1"/>
    </xf>
    <xf numFmtId="41" fontId="29" fillId="0" borderId="0" xfId="7" applyNumberFormat="1" applyFont="1" applyBorder="1" applyAlignment="1">
      <alignment horizontal="center" vertical="center"/>
    </xf>
    <xf numFmtId="0" fontId="29" fillId="0" borderId="0" xfId="6" applyNumberFormat="1" applyFont="1" applyBorder="1" applyAlignment="1">
      <alignment horizontal="center" vertical="center"/>
    </xf>
    <xf numFmtId="41" fontId="29" fillId="0" borderId="0" xfId="3" applyNumberFormat="1" applyFont="1" applyBorder="1" applyAlignment="1">
      <alignment horizontal="center" vertical="center"/>
    </xf>
    <xf numFmtId="0" fontId="3" fillId="0" borderId="0" xfId="6" applyNumberFormat="1" applyFont="1" applyAlignment="1">
      <alignment vertical="center" wrapText="1"/>
    </xf>
    <xf numFmtId="0" fontId="28" fillId="0" borderId="0" xfId="0" applyNumberFormat="1" applyFont="1" applyAlignment="1"/>
    <xf numFmtId="0" fontId="27" fillId="12" borderId="0" xfId="0" applyNumberFormat="1" applyFont="1" applyFill="1" applyAlignment="1">
      <alignment horizontal="center" vertical="center"/>
    </xf>
    <xf numFmtId="0" fontId="31" fillId="13" borderId="95" xfId="0" applyNumberFormat="1" applyFont="1" applyFill="1" applyBorder="1" applyAlignment="1">
      <alignment horizontal="center" vertical="center"/>
    </xf>
    <xf numFmtId="0" fontId="27" fillId="12" borderId="95" xfId="0" applyNumberFormat="1" applyFont="1" applyFill="1" applyBorder="1" applyAlignment="1">
      <alignment horizontal="center" vertical="center"/>
    </xf>
    <xf numFmtId="0" fontId="32" fillId="12" borderId="0" xfId="0" applyNumberFormat="1" applyFont="1" applyFill="1" applyAlignment="1">
      <alignment horizontal="center" vertical="center"/>
    </xf>
    <xf numFmtId="0" fontId="28" fillId="0" borderId="95" xfId="0" applyNumberFormat="1" applyFont="1" applyBorder="1" applyAlignment="1">
      <alignment vertical="center"/>
    </xf>
    <xf numFmtId="0" fontId="28" fillId="0" borderId="95" xfId="0" applyNumberFormat="1" applyFont="1" applyBorder="1" applyAlignment="1">
      <alignment horizontal="center" vertical="center"/>
    </xf>
    <xf numFmtId="41" fontId="28" fillId="0" borderId="95" xfId="1" applyNumberFormat="1" applyFont="1" applyBorder="1" applyAlignment="1">
      <alignment vertical="center"/>
    </xf>
    <xf numFmtId="0" fontId="0" fillId="0" borderId="95" xfId="0" applyNumberFormat="1" applyBorder="1" applyAlignment="1">
      <alignment vertical="center"/>
    </xf>
    <xf numFmtId="0" fontId="28" fillId="11" borderId="95" xfId="0" applyNumberFormat="1" applyFont="1" applyFill="1" applyBorder="1" applyAlignment="1"/>
    <xf numFmtId="41" fontId="31" fillId="11" borderId="95" xfId="0" applyNumberFormat="1" applyFont="1" applyFill="1" applyBorder="1" applyAlignment="1">
      <alignment horizontal="right" vertical="center"/>
    </xf>
    <xf numFmtId="0" fontId="28" fillId="0" borderId="96" xfId="0" applyNumberFormat="1" applyFont="1" applyBorder="1" applyAlignment="1">
      <alignment vertical="center"/>
    </xf>
    <xf numFmtId="14" fontId="28" fillId="0" borderId="95" xfId="0" applyNumberFormat="1" applyFont="1" applyBorder="1" applyAlignment="1">
      <alignment horizontal="center" vertical="center"/>
    </xf>
    <xf numFmtId="0" fontId="28" fillId="0" borderId="98" xfId="0" applyNumberFormat="1" applyFont="1" applyBorder="1" applyAlignment="1">
      <alignment vertical="center"/>
    </xf>
    <xf numFmtId="0" fontId="28" fillId="11" borderId="0" xfId="0" applyNumberFormat="1" applyFont="1" applyFill="1" applyAlignment="1"/>
    <xf numFmtId="0" fontId="0" fillId="11" borderId="0" xfId="0" applyNumberFormat="1" applyFill="1" applyAlignment="1"/>
    <xf numFmtId="0" fontId="28" fillId="4" borderId="95" xfId="0" applyNumberFormat="1" applyFont="1" applyFill="1" applyBorder="1" applyAlignment="1"/>
    <xf numFmtId="41" fontId="31" fillId="4" borderId="95" xfId="0" applyNumberFormat="1" applyFont="1" applyFill="1" applyBorder="1" applyAlignment="1">
      <alignment horizontal="right" vertical="center"/>
    </xf>
    <xf numFmtId="41" fontId="0" fillId="0" borderId="0" xfId="0" applyNumberFormat="1" applyAlignment="1"/>
    <xf numFmtId="0" fontId="0" fillId="0" borderId="0" xfId="0" applyNumberForma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vertical="center" shrinkToFit="1"/>
    </xf>
    <xf numFmtId="0" fontId="0" fillId="0" borderId="0" xfId="0" applyNumberFormat="1" applyBorder="1" applyAlignment="1">
      <alignment vertical="center"/>
    </xf>
    <xf numFmtId="0" fontId="24" fillId="10" borderId="100" xfId="0" applyNumberFormat="1" applyFont="1" applyFill="1" applyBorder="1" applyAlignment="1">
      <alignment horizontal="center" vertical="center"/>
    </xf>
    <xf numFmtId="0" fontId="24" fillId="10" borderId="101" xfId="0" applyNumberFormat="1" applyFont="1" applyFill="1" applyBorder="1" applyAlignment="1">
      <alignment horizontal="center" vertical="center"/>
    </xf>
    <xf numFmtId="0" fontId="24" fillId="10" borderId="101" xfId="0" applyNumberFormat="1" applyFont="1" applyFill="1" applyBorder="1" applyAlignment="1">
      <alignment horizontal="center" vertical="center" shrinkToFit="1"/>
    </xf>
    <xf numFmtId="0" fontId="24" fillId="10" borderId="102" xfId="0" applyNumberFormat="1" applyFont="1" applyFill="1" applyBorder="1" applyAlignment="1">
      <alignment horizontal="center" vertical="center"/>
    </xf>
    <xf numFmtId="0" fontId="33" fillId="0" borderId="92" xfId="0" applyNumberFormat="1" applyFont="1" applyFill="1" applyBorder="1" applyAlignment="1">
      <alignment horizontal="center" vertical="center" wrapText="1"/>
    </xf>
    <xf numFmtId="14" fontId="33" fillId="0" borderId="92" xfId="0" applyNumberFormat="1" applyFont="1" applyFill="1" applyBorder="1" applyAlignment="1">
      <alignment horizontal="center" vertical="center" wrapText="1"/>
    </xf>
    <xf numFmtId="3" fontId="33" fillId="0" borderId="92" xfId="0" applyNumberFormat="1" applyFont="1" applyFill="1" applyBorder="1" applyAlignment="1">
      <alignment horizontal="right" vertical="center" shrinkToFit="1"/>
    </xf>
    <xf numFmtId="0" fontId="33" fillId="0" borderId="92" xfId="0" applyNumberFormat="1" applyFont="1" applyFill="1" applyBorder="1" applyAlignment="1">
      <alignment horizontal="left" vertical="center" shrinkToFit="1"/>
    </xf>
    <xf numFmtId="3" fontId="34" fillId="3" borderId="92" xfId="0" applyNumberFormat="1" applyFont="1" applyFill="1" applyBorder="1" applyAlignment="1">
      <alignment horizontal="right" vertical="center" shrinkToFit="1"/>
    </xf>
    <xf numFmtId="0" fontId="34" fillId="3" borderId="92" xfId="0" applyNumberFormat="1" applyFont="1" applyFill="1" applyBorder="1" applyAlignment="1">
      <alignment horizontal="center" vertical="center" wrapText="1"/>
    </xf>
    <xf numFmtId="0" fontId="34" fillId="3" borderId="92" xfId="0" applyNumberFormat="1" applyFont="1" applyFill="1" applyBorder="1" applyAlignment="1">
      <alignment horizontal="left" vertical="center" shrinkToFit="1"/>
    </xf>
    <xf numFmtId="0" fontId="35" fillId="0" borderId="0" xfId="0" applyNumberFormat="1" applyFont="1" applyAlignment="1"/>
    <xf numFmtId="3" fontId="0" fillId="0" borderId="0" xfId="0" applyNumberFormat="1" applyAlignment="1"/>
    <xf numFmtId="187" fontId="36" fillId="4" borderId="95" xfId="0" applyNumberFormat="1" applyFont="1" applyFill="1" applyBorder="1" applyAlignment="1">
      <alignment horizontal="right" vertical="center" shrinkToFit="1"/>
    </xf>
    <xf numFmtId="0" fontId="36" fillId="4" borderId="95" xfId="0" applyNumberFormat="1" applyFont="1" applyFill="1" applyBorder="1" applyAlignment="1">
      <alignment horizontal="center" vertical="center" wrapText="1"/>
    </xf>
    <xf numFmtId="41" fontId="0" fillId="0" borderId="0" xfId="1" applyNumberFormat="1" applyFont="1" applyAlignment="1">
      <alignment shrinkToFit="1"/>
    </xf>
    <xf numFmtId="41" fontId="0" fillId="0" borderId="0" xfId="0" applyNumberFormat="1" applyAlignment="1">
      <alignment shrinkToFit="1"/>
    </xf>
    <xf numFmtId="0" fontId="0" fillId="0" borderId="0" xfId="0" applyNumberFormat="1" applyAlignment="1">
      <alignment shrinkToFit="1"/>
    </xf>
    <xf numFmtId="0" fontId="26" fillId="0" borderId="110" xfId="6" applyNumberFormat="1" applyFont="1" applyBorder="1" applyAlignment="1">
      <alignment horizontal="center" vertical="center" wrapText="1" shrinkToFit="1"/>
    </xf>
    <xf numFmtId="0" fontId="26" fillId="0" borderId="106" xfId="6" applyNumberFormat="1" applyFont="1" applyBorder="1" applyAlignment="1">
      <alignment horizontal="center" vertical="center" wrapText="1" shrinkToFit="1"/>
    </xf>
    <xf numFmtId="178" fontId="22" fillId="7" borderId="72" xfId="0" applyNumberFormat="1" applyFont="1" applyFill="1" applyBorder="1" applyAlignment="1">
      <alignment vertical="center"/>
    </xf>
    <xf numFmtId="176" fontId="5" fillId="7" borderId="73" xfId="1" applyNumberFormat="1" applyFont="1" applyFill="1" applyBorder="1" applyAlignment="1">
      <alignment horizontal="right" vertical="center" shrinkToFit="1"/>
    </xf>
    <xf numFmtId="41" fontId="5" fillId="0" borderId="18" xfId="1" applyNumberFormat="1" applyFont="1" applyBorder="1" applyAlignment="1">
      <alignment horizontal="right" vertical="center" shrinkToFit="1"/>
    </xf>
    <xf numFmtId="41" fontId="5" fillId="0" borderId="111" xfId="1" applyNumberFormat="1" applyFont="1" applyBorder="1" applyAlignment="1">
      <alignment horizontal="right" vertical="center" shrinkToFit="1"/>
    </xf>
    <xf numFmtId="176" fontId="5" fillId="0" borderId="26" xfId="0" applyNumberFormat="1" applyFont="1" applyBorder="1" applyAlignment="1">
      <alignment vertical="center" shrinkToFit="1"/>
    </xf>
    <xf numFmtId="41" fontId="5" fillId="0" borderId="112" xfId="1" applyNumberFormat="1" applyFont="1" applyBorder="1" applyAlignment="1">
      <alignment horizontal="right" vertical="center" shrinkToFit="1"/>
    </xf>
    <xf numFmtId="41" fontId="5" fillId="5" borderId="73" xfId="1" applyNumberFormat="1" applyFont="1" applyFill="1" applyBorder="1" applyAlignment="1">
      <alignment horizontal="right" vertical="center" shrinkToFit="1"/>
    </xf>
    <xf numFmtId="41" fontId="5" fillId="0" borderId="73" xfId="1" applyNumberFormat="1" applyFont="1" applyBorder="1" applyAlignment="1">
      <alignment horizontal="right" vertical="center" shrinkToFit="1"/>
    </xf>
    <xf numFmtId="41" fontId="5" fillId="7" borderId="73" xfId="0" applyNumberFormat="1" applyFont="1" applyFill="1" applyBorder="1" applyAlignment="1">
      <alignment vertical="center" shrinkToFit="1"/>
    </xf>
    <xf numFmtId="176" fontId="5" fillId="5" borderId="73" xfId="0" applyNumberFormat="1" applyFont="1" applyFill="1" applyBorder="1" applyAlignment="1">
      <alignment vertical="center" shrinkToFit="1"/>
    </xf>
    <xf numFmtId="176" fontId="5" fillId="0" borderId="75" xfId="0" applyNumberFormat="1" applyFont="1" applyBorder="1" applyAlignment="1">
      <alignment vertical="center" shrinkToFit="1"/>
    </xf>
    <xf numFmtId="176" fontId="5" fillId="5" borderId="75" xfId="0" applyNumberFormat="1" applyFont="1" applyFill="1" applyBorder="1" applyAlignment="1">
      <alignment vertical="center" shrinkToFit="1"/>
    </xf>
    <xf numFmtId="176" fontId="5" fillId="0" borderId="112" xfId="0" applyNumberFormat="1" applyFont="1" applyBorder="1" applyAlignment="1">
      <alignment vertical="center" shrinkToFit="1"/>
    </xf>
    <xf numFmtId="176" fontId="5" fillId="5" borderId="112" xfId="0" applyNumberFormat="1" applyFont="1" applyFill="1" applyBorder="1" applyAlignment="1">
      <alignment vertical="center" shrinkToFit="1"/>
    </xf>
    <xf numFmtId="41" fontId="5" fillId="0" borderId="2" xfId="1" applyNumberFormat="1" applyFont="1" applyBorder="1" applyAlignment="1">
      <alignment horizontal="right" vertical="center" shrinkToFit="1"/>
    </xf>
    <xf numFmtId="41" fontId="5" fillId="0" borderId="89" xfId="1" applyNumberFormat="1" applyFont="1" applyBorder="1" applyAlignment="1">
      <alignment horizontal="right" vertical="center" shrinkToFit="1"/>
    </xf>
    <xf numFmtId="41" fontId="5" fillId="7" borderId="25" xfId="0" applyNumberFormat="1" applyFont="1" applyFill="1" applyBorder="1" applyAlignment="1">
      <alignment vertical="center" shrinkToFit="1"/>
    </xf>
    <xf numFmtId="41" fontId="5" fillId="6" borderId="25" xfId="0" applyNumberFormat="1" applyFont="1" applyFill="1" applyBorder="1" applyAlignment="1">
      <alignment vertical="center" shrinkToFit="1"/>
    </xf>
    <xf numFmtId="41" fontId="5" fillId="5" borderId="25" xfId="1" applyNumberFormat="1" applyFont="1" applyFill="1" applyBorder="1" applyAlignment="1">
      <alignment horizontal="right" vertical="center" shrinkToFit="1"/>
    </xf>
    <xf numFmtId="41" fontId="5" fillId="0" borderId="25" xfId="1" applyNumberFormat="1" applyFont="1" applyBorder="1" applyAlignment="1">
      <alignment horizontal="right" vertical="center" shrinkToFit="1"/>
    </xf>
    <xf numFmtId="41" fontId="5" fillId="6" borderId="73" xfId="0" applyNumberFormat="1" applyFont="1" applyFill="1" applyBorder="1" applyAlignment="1">
      <alignment vertical="center" shrinkToFit="1"/>
    </xf>
    <xf numFmtId="41" fontId="5" fillId="5" borderId="112" xfId="1" applyNumberFormat="1" applyFont="1" applyFill="1" applyBorder="1" applyAlignment="1">
      <alignment horizontal="right" vertical="center" shrinkToFit="1"/>
    </xf>
    <xf numFmtId="176" fontId="5" fillId="0" borderId="73" xfId="1" applyNumberFormat="1" applyFont="1" applyFill="1" applyBorder="1" applyAlignment="1">
      <alignment horizontal="right" vertical="center" shrinkToFit="1"/>
    </xf>
    <xf numFmtId="0" fontId="5" fillId="0" borderId="18" xfId="0" applyNumberFormat="1" applyFont="1" applyFill="1" applyBorder="1" applyAlignment="1">
      <alignment horizontal="center" vertical="center" shrinkToFit="1"/>
    </xf>
    <xf numFmtId="41" fontId="5" fillId="6" borderId="81" xfId="1" applyNumberFormat="1" applyFont="1" applyFill="1" applyBorder="1" applyAlignment="1">
      <alignment horizontal="right" vertical="center" shrinkToFit="1"/>
    </xf>
    <xf numFmtId="41" fontId="5" fillId="7" borderId="17" xfId="1" applyNumberFormat="1" applyFont="1" applyFill="1" applyBorder="1" applyAlignment="1">
      <alignment horizontal="right" vertical="center" shrinkToFit="1"/>
    </xf>
    <xf numFmtId="41" fontId="5" fillId="0" borderId="80" xfId="1" applyNumberFormat="1" applyFont="1" applyBorder="1" applyAlignment="1">
      <alignment horizontal="right" vertical="center" shrinkToFit="1"/>
    </xf>
    <xf numFmtId="186" fontId="23" fillId="0" borderId="17" xfId="0" applyNumberFormat="1" applyFont="1" applyBorder="1" applyAlignment="1">
      <alignment horizontal="right" vertical="center" shrinkToFit="1"/>
    </xf>
    <xf numFmtId="41" fontId="6" fillId="0" borderId="17" xfId="1" applyNumberFormat="1" applyFont="1" applyBorder="1" applyAlignment="1">
      <alignment horizontal="center" vertical="center"/>
    </xf>
    <xf numFmtId="41" fontId="6" fillId="0" borderId="0" xfId="1" applyNumberFormat="1" applyFont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41" fontId="5" fillId="5" borderId="113" xfId="1" applyNumberFormat="1" applyFont="1" applyFill="1" applyBorder="1" applyAlignment="1">
      <alignment horizontal="right" vertical="center" shrinkToFit="1"/>
    </xf>
    <xf numFmtId="41" fontId="5" fillId="5" borderId="43" xfId="1" applyNumberFormat="1" applyFont="1" applyFill="1" applyBorder="1" applyAlignment="1">
      <alignment horizontal="right" vertical="center" shrinkToFit="1"/>
    </xf>
    <xf numFmtId="41" fontId="7" fillId="0" borderId="52" xfId="1" applyNumberFormat="1" applyFont="1" applyFill="1" applyBorder="1" applyAlignment="1">
      <alignment vertical="center" shrinkToFit="1"/>
    </xf>
    <xf numFmtId="41" fontId="7" fillId="0" borderId="17" xfId="1" applyNumberFormat="1" applyFont="1" applyBorder="1" applyAlignment="1">
      <alignment vertical="center"/>
    </xf>
    <xf numFmtId="41" fontId="7" fillId="6" borderId="24" xfId="1" applyNumberFormat="1" applyFont="1" applyFill="1" applyBorder="1" applyAlignment="1">
      <alignment vertical="center" shrinkToFit="1"/>
    </xf>
    <xf numFmtId="41" fontId="7" fillId="7" borderId="17" xfId="1" applyNumberFormat="1" applyFont="1" applyFill="1" applyBorder="1" applyAlignment="1">
      <alignment vertical="center" shrinkToFit="1"/>
    </xf>
    <xf numFmtId="41" fontId="7" fillId="7" borderId="17" xfId="1" applyNumberFormat="1" applyFont="1" applyFill="1" applyBorder="1" applyAlignment="1">
      <alignment horizontal="right" vertical="center" shrinkToFit="1"/>
    </xf>
    <xf numFmtId="41" fontId="7" fillId="6" borderId="17" xfId="1" applyNumberFormat="1" applyFont="1" applyFill="1" applyBorder="1" applyAlignment="1">
      <alignment vertical="center" shrinkToFit="1"/>
    </xf>
    <xf numFmtId="41" fontId="7" fillId="7" borderId="17" xfId="1" applyNumberFormat="1" applyFont="1" applyFill="1" applyBorder="1" applyAlignment="1">
      <alignment vertical="center"/>
    </xf>
    <xf numFmtId="41" fontId="7" fillId="6" borderId="17" xfId="1" applyNumberFormat="1" applyFont="1" applyFill="1" applyBorder="1" applyAlignment="1">
      <alignment vertical="center"/>
    </xf>
    <xf numFmtId="0" fontId="26" fillId="0" borderId="106" xfId="6" applyNumberFormat="1" applyFont="1" applyBorder="1" applyAlignment="1">
      <alignment horizontal="center" vertical="center" wrapText="1" shrinkToFit="1"/>
    </xf>
    <xf numFmtId="3" fontId="34" fillId="3" borderId="114" xfId="0" applyNumberFormat="1" applyFont="1" applyFill="1" applyBorder="1" applyAlignment="1">
      <alignment horizontal="right" vertical="center" shrinkToFit="1"/>
    </xf>
    <xf numFmtId="0" fontId="34" fillId="3" borderId="114" xfId="0" applyNumberFormat="1" applyFont="1" applyFill="1" applyBorder="1" applyAlignment="1">
      <alignment horizontal="center" vertical="center" wrapText="1"/>
    </xf>
    <xf numFmtId="0" fontId="34" fillId="3" borderId="114" xfId="0" applyNumberFormat="1" applyFont="1" applyFill="1" applyBorder="1" applyAlignment="1">
      <alignment horizontal="left" vertical="center" shrinkToFit="1"/>
    </xf>
    <xf numFmtId="0" fontId="33" fillId="0" borderId="13" xfId="0" applyNumberFormat="1" applyFont="1" applyFill="1" applyBorder="1" applyAlignment="1">
      <alignment horizontal="center" vertical="center" wrapText="1"/>
    </xf>
    <xf numFmtId="14" fontId="33" fillId="0" borderId="13" xfId="0" applyNumberFormat="1" applyFont="1" applyFill="1" applyBorder="1" applyAlignment="1">
      <alignment horizontal="center" vertical="center" wrapText="1"/>
    </xf>
    <xf numFmtId="3" fontId="33" fillId="0" borderId="13" xfId="0" applyNumberFormat="1" applyFont="1" applyFill="1" applyBorder="1" applyAlignment="1">
      <alignment horizontal="right" vertical="center" shrinkToFit="1"/>
    </xf>
    <xf numFmtId="0" fontId="33" fillId="0" borderId="13" xfId="0" applyNumberFormat="1" applyFont="1" applyFill="1" applyBorder="1" applyAlignment="1">
      <alignment horizontal="left" vertical="center" shrinkToFit="1"/>
    </xf>
    <xf numFmtId="41" fontId="8" fillId="4" borderId="22" xfId="0" applyNumberFormat="1" applyFont="1" applyFill="1" applyBorder="1" applyAlignment="1">
      <alignment horizontal="center" vertical="center" shrinkToFit="1"/>
    </xf>
    <xf numFmtId="41" fontId="8" fillId="4" borderId="17" xfId="0" applyNumberFormat="1" applyFont="1" applyFill="1" applyBorder="1" applyAlignment="1">
      <alignment horizontal="center" vertical="center" shrinkToFit="1"/>
    </xf>
    <xf numFmtId="41" fontId="8" fillId="4" borderId="17" xfId="0" applyNumberFormat="1" applyFont="1" applyFill="1" applyBorder="1" applyAlignment="1">
      <alignment vertical="center" shrinkToFit="1"/>
    </xf>
    <xf numFmtId="41" fontId="8" fillId="4" borderId="17" xfId="1" applyNumberFormat="1" applyFont="1" applyFill="1" applyBorder="1" applyAlignment="1">
      <alignment vertical="center" shrinkToFit="1"/>
    </xf>
    <xf numFmtId="179" fontId="8" fillId="4" borderId="68" xfId="1" applyNumberFormat="1" applyFont="1" applyFill="1" applyBorder="1" applyAlignment="1">
      <alignment horizontal="right" vertical="center" shrinkToFit="1"/>
    </xf>
    <xf numFmtId="0" fontId="8" fillId="0" borderId="52" xfId="0" applyNumberFormat="1" applyFont="1" applyFill="1" applyBorder="1" applyAlignment="1">
      <alignment horizontal="center" vertical="center" shrinkToFit="1"/>
    </xf>
    <xf numFmtId="0" fontId="8" fillId="6" borderId="52" xfId="0" applyNumberFormat="1" applyFont="1" applyFill="1" applyBorder="1" applyAlignment="1">
      <alignment horizontal="center" vertical="center" shrinkToFit="1"/>
    </xf>
    <xf numFmtId="41" fontId="8" fillId="4" borderId="0" xfId="0" applyNumberFormat="1" applyFont="1" applyFill="1" applyBorder="1" applyAlignment="1">
      <alignment vertical="center"/>
    </xf>
    <xf numFmtId="41" fontId="8" fillId="4" borderId="0" xfId="0" applyNumberFormat="1" applyFont="1" applyFill="1" applyBorder="1" applyAlignment="1">
      <alignment horizontal="center" vertical="center" shrinkToFit="1"/>
    </xf>
    <xf numFmtId="41" fontId="8" fillId="4" borderId="0" xfId="0" applyNumberFormat="1" applyFont="1" applyFill="1" applyBorder="1" applyAlignment="1">
      <alignment horizontal="center" vertical="center"/>
    </xf>
    <xf numFmtId="41" fontId="8" fillId="4" borderId="0" xfId="1" applyNumberFormat="1" applyFont="1" applyFill="1" applyBorder="1" applyAlignment="1">
      <alignment vertical="center" shrinkToFit="1"/>
    </xf>
    <xf numFmtId="41" fontId="8" fillId="4" borderId="0" xfId="0" applyNumberFormat="1" applyFont="1" applyFill="1" applyBorder="1" applyAlignment="1">
      <alignment vertical="center" shrinkToFit="1"/>
    </xf>
    <xf numFmtId="179" fontId="8" fillId="4" borderId="27" xfId="1" applyNumberFormat="1" applyFont="1" applyFill="1" applyBorder="1" applyAlignment="1">
      <alignment horizontal="right" vertical="center" shrinkToFit="1"/>
    </xf>
    <xf numFmtId="0" fontId="8" fillId="0" borderId="18" xfId="0" applyNumberFormat="1" applyFont="1" applyFill="1" applyBorder="1" applyAlignment="1">
      <alignment horizontal="center" vertical="center"/>
    </xf>
    <xf numFmtId="0" fontId="8" fillId="0" borderId="28" xfId="0" applyNumberFormat="1" applyFont="1" applyBorder="1" applyAlignment="1">
      <alignment horizontal="center" vertical="center"/>
    </xf>
    <xf numFmtId="0" fontId="8" fillId="6" borderId="18" xfId="0" applyNumberFormat="1" applyFont="1" applyFill="1" applyBorder="1" applyAlignment="1">
      <alignment horizontal="center" vertical="center"/>
    </xf>
    <xf numFmtId="0" fontId="8" fillId="6" borderId="28" xfId="0" applyNumberFormat="1" applyFont="1" applyFill="1" applyBorder="1" applyAlignment="1">
      <alignment horizontal="center" vertical="center"/>
    </xf>
    <xf numFmtId="0" fontId="8" fillId="7" borderId="18" xfId="0" applyNumberFormat="1" applyFont="1" applyFill="1" applyBorder="1" applyAlignment="1">
      <alignment horizontal="center" vertical="center"/>
    </xf>
    <xf numFmtId="0" fontId="8" fillId="6" borderId="56" xfId="0" applyNumberFormat="1" applyFont="1" applyFill="1" applyBorder="1" applyAlignment="1">
      <alignment horizontal="center" vertical="center"/>
    </xf>
    <xf numFmtId="0" fontId="8" fillId="0" borderId="25" xfId="0" applyNumberFormat="1" applyFont="1" applyFill="1" applyBorder="1" applyAlignment="1">
      <alignment horizontal="center" vertical="center"/>
    </xf>
    <xf numFmtId="0" fontId="8" fillId="0" borderId="52" xfId="0" applyNumberFormat="1" applyFont="1" applyFill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0" fontId="8" fillId="0" borderId="25" xfId="0" applyNumberFormat="1" applyFont="1" applyBorder="1" applyAlignment="1">
      <alignment horizontal="center" vertical="center"/>
    </xf>
    <xf numFmtId="41" fontId="26" fillId="4" borderId="13" xfId="7" applyNumberFormat="1" applyFont="1" applyFill="1" applyBorder="1" applyAlignment="1">
      <alignment vertical="center" shrinkToFit="1"/>
    </xf>
    <xf numFmtId="0" fontId="7" fillId="0" borderId="52" xfId="0" applyNumberFormat="1" applyFont="1" applyFill="1" applyBorder="1" applyAlignment="1">
      <alignment horizontal="center" vertical="center" shrinkToFit="1"/>
    </xf>
    <xf numFmtId="0" fontId="7" fillId="6" borderId="52" xfId="0" applyNumberFormat="1" applyFont="1" applyFill="1" applyBorder="1" applyAlignment="1">
      <alignment horizontal="center" vertical="center" shrinkToFit="1"/>
    </xf>
    <xf numFmtId="0" fontId="7" fillId="0" borderId="52" xfId="0" applyNumberFormat="1" applyFont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center" shrinkToFit="1"/>
    </xf>
    <xf numFmtId="41" fontId="8" fillId="4" borderId="0" xfId="4" applyNumberFormat="1" applyFont="1" applyFill="1" applyBorder="1" applyAlignment="1">
      <alignment horizontal="right" vertical="center" shrinkToFit="1"/>
    </xf>
    <xf numFmtId="41" fontId="8" fillId="4" borderId="0" xfId="0" applyNumberFormat="1" applyFont="1" applyFill="1" applyBorder="1" applyAlignment="1">
      <alignment horizontal="right" vertical="center" shrinkToFit="1"/>
    </xf>
    <xf numFmtId="180" fontId="8" fillId="4" borderId="0" xfId="0" applyNumberFormat="1" applyFont="1" applyFill="1" applyBorder="1" applyAlignment="1">
      <alignment horizontal="right" vertical="center" shrinkToFit="1"/>
    </xf>
    <xf numFmtId="0" fontId="7" fillId="4" borderId="0" xfId="0" applyNumberFormat="1" applyFont="1" applyFill="1" applyBorder="1" applyAlignment="1">
      <alignment horizontal="center" vertical="center"/>
    </xf>
    <xf numFmtId="180" fontId="8" fillId="4" borderId="0" xfId="0" applyNumberFormat="1" applyFont="1" applyFill="1" applyBorder="1" applyAlignment="1">
      <alignment vertical="center"/>
    </xf>
    <xf numFmtId="176" fontId="8" fillId="4" borderId="27" xfId="4" applyNumberFormat="1" applyFont="1" applyFill="1" applyBorder="1" applyAlignment="1">
      <alignment horizontal="left" vertical="center" shrinkToFit="1"/>
    </xf>
    <xf numFmtId="0" fontId="8" fillId="4" borderId="27" xfId="0" applyNumberFormat="1" applyFont="1" applyFill="1" applyBorder="1" applyAlignment="1">
      <alignment horizontal="left" vertical="center"/>
    </xf>
    <xf numFmtId="0" fontId="8" fillId="4" borderId="27" xfId="0" applyNumberFormat="1" applyFont="1" applyFill="1" applyBorder="1" applyAlignment="1">
      <alignment horizontal="left" vertical="center" wrapText="1"/>
    </xf>
    <xf numFmtId="176" fontId="8" fillId="6" borderId="68" xfId="4" applyNumberFormat="1" applyFont="1" applyFill="1" applyBorder="1" applyAlignment="1">
      <alignment horizontal="left" vertical="center" shrinkToFit="1"/>
    </xf>
    <xf numFmtId="176" fontId="8" fillId="7" borderId="68" xfId="4" applyNumberFormat="1" applyFont="1" applyFill="1" applyBorder="1" applyAlignment="1">
      <alignment horizontal="left" vertical="center" shrinkToFit="1"/>
    </xf>
    <xf numFmtId="176" fontId="8" fillId="0" borderId="68" xfId="4" applyNumberFormat="1" applyFont="1" applyFill="1" applyBorder="1" applyAlignment="1">
      <alignment horizontal="left" vertical="center" shrinkToFit="1"/>
    </xf>
    <xf numFmtId="41" fontId="4" fillId="0" borderId="26" xfId="1" applyNumberFormat="1" applyFont="1" applyFill="1" applyBorder="1" applyAlignment="1">
      <alignment vertical="center"/>
    </xf>
    <xf numFmtId="41" fontId="5" fillId="0" borderId="26" xfId="1" applyNumberFormat="1" applyFont="1" applyBorder="1" applyAlignment="1">
      <alignment horizontal="left" vertical="center"/>
    </xf>
    <xf numFmtId="41" fontId="5" fillId="0" borderId="26" xfId="1" applyNumberFormat="1" applyFont="1" applyBorder="1" applyAlignment="1">
      <alignment vertical="center"/>
    </xf>
    <xf numFmtId="178" fontId="5" fillId="0" borderId="71" xfId="1" applyNumberFormat="1" applyFont="1" applyBorder="1" applyAlignment="1">
      <alignment horizontal="right" vertical="center"/>
    </xf>
    <xf numFmtId="41" fontId="10" fillId="0" borderId="0" xfId="4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right" vertical="center"/>
    </xf>
    <xf numFmtId="0" fontId="5" fillId="0" borderId="115" xfId="0" applyNumberFormat="1" applyFont="1" applyBorder="1" applyAlignment="1">
      <alignment horizontal="center" vertical="center"/>
    </xf>
    <xf numFmtId="176" fontId="12" fillId="0" borderId="116" xfId="4" applyNumberFormat="1" applyFont="1" applyBorder="1" applyAlignment="1">
      <alignment horizontal="right" vertical="center" shrinkToFit="1"/>
    </xf>
    <xf numFmtId="0" fontId="7" fillId="6" borderId="117" xfId="0" applyNumberFormat="1" applyFont="1" applyFill="1" applyBorder="1" applyAlignment="1">
      <alignment horizontal="center" vertical="center" shrinkToFit="1"/>
    </xf>
    <xf numFmtId="176" fontId="8" fillId="6" borderId="118" xfId="4" applyNumberFormat="1" applyFont="1" applyFill="1" applyBorder="1" applyAlignment="1">
      <alignment horizontal="left" vertical="center" shrinkToFit="1"/>
    </xf>
    <xf numFmtId="0" fontId="7" fillId="0" borderId="119" xfId="0" applyNumberFormat="1" applyFont="1" applyFill="1" applyBorder="1" applyAlignment="1">
      <alignment horizontal="center" vertical="center" shrinkToFit="1"/>
    </xf>
    <xf numFmtId="176" fontId="8" fillId="7" borderId="48" xfId="4" applyNumberFormat="1" applyFont="1" applyFill="1" applyBorder="1" applyAlignment="1">
      <alignment horizontal="left" vertical="center" shrinkToFit="1"/>
    </xf>
    <xf numFmtId="176" fontId="8" fillId="0" borderId="48" xfId="4" applyNumberFormat="1" applyFont="1" applyFill="1" applyBorder="1" applyAlignment="1">
      <alignment horizontal="left" vertical="center" wrapText="1" shrinkToFit="1"/>
    </xf>
    <xf numFmtId="0" fontId="7" fillId="6" borderId="119" xfId="0" applyNumberFormat="1" applyFont="1" applyFill="1" applyBorder="1" applyAlignment="1">
      <alignment horizontal="center" vertical="center" shrinkToFit="1"/>
    </xf>
    <xf numFmtId="176" fontId="8" fillId="0" borderId="48" xfId="4" applyNumberFormat="1" applyFont="1" applyFill="1" applyBorder="1" applyAlignment="1">
      <alignment horizontal="left" vertical="center" wrapText="1"/>
    </xf>
    <xf numFmtId="0" fontId="7" fillId="0" borderId="120" xfId="0" applyNumberFormat="1" applyFont="1" applyFill="1" applyBorder="1" applyAlignment="1">
      <alignment horizontal="center" vertical="center"/>
    </xf>
    <xf numFmtId="176" fontId="8" fillId="7" borderId="48" xfId="4" applyNumberFormat="1" applyFont="1" applyFill="1" applyBorder="1" applyAlignment="1">
      <alignment horizontal="left" vertical="center" wrapText="1" shrinkToFit="1"/>
    </xf>
    <xf numFmtId="0" fontId="7" fillId="4" borderId="119" xfId="0" applyNumberFormat="1" applyFont="1" applyFill="1" applyBorder="1" applyAlignment="1">
      <alignment horizontal="center" vertical="center" shrinkToFit="1"/>
    </xf>
    <xf numFmtId="176" fontId="8" fillId="6" borderId="48" xfId="4" applyNumberFormat="1" applyFont="1" applyFill="1" applyBorder="1" applyAlignment="1">
      <alignment horizontal="left" vertical="center" wrapText="1" shrinkToFit="1"/>
    </xf>
    <xf numFmtId="0" fontId="7" fillId="0" borderId="119" xfId="0" applyNumberFormat="1" applyFont="1" applyBorder="1" applyAlignment="1">
      <alignment horizontal="center" vertical="center"/>
    </xf>
    <xf numFmtId="0" fontId="7" fillId="6" borderId="119" xfId="0" applyNumberFormat="1" applyFont="1" applyFill="1" applyBorder="1" applyAlignment="1">
      <alignment horizontal="center" vertical="center"/>
    </xf>
    <xf numFmtId="0" fontId="4" fillId="7" borderId="48" xfId="0" applyNumberFormat="1" applyFont="1" applyFill="1" applyBorder="1" applyAlignment="1">
      <alignment horizontal="left" vertical="center" wrapText="1"/>
    </xf>
    <xf numFmtId="0" fontId="8" fillId="0" borderId="48" xfId="0" applyNumberFormat="1" applyFont="1" applyBorder="1" applyAlignment="1">
      <alignment horizontal="left" vertical="center" wrapText="1"/>
    </xf>
    <xf numFmtId="0" fontId="4" fillId="6" borderId="48" xfId="0" applyNumberFormat="1" applyFont="1" applyFill="1" applyBorder="1" applyAlignment="1">
      <alignment horizontal="left" vertical="center" wrapText="1"/>
    </xf>
    <xf numFmtId="0" fontId="7" fillId="8" borderId="60" xfId="0" applyNumberFormat="1" applyFont="1" applyFill="1" applyBorder="1" applyAlignment="1">
      <alignment horizontal="center" vertical="center"/>
    </xf>
    <xf numFmtId="0" fontId="7" fillId="8" borderId="121" xfId="0" applyNumberFormat="1" applyFont="1" applyFill="1" applyBorder="1" applyAlignment="1">
      <alignment horizontal="center" vertical="center"/>
    </xf>
    <xf numFmtId="41" fontId="7" fillId="8" borderId="121" xfId="0" applyNumberFormat="1" applyFont="1" applyFill="1" applyBorder="1" applyAlignment="1">
      <alignment vertical="center"/>
    </xf>
    <xf numFmtId="41" fontId="8" fillId="8" borderId="121" xfId="0" applyNumberFormat="1" applyFont="1" applyFill="1" applyBorder="1" applyAlignment="1">
      <alignment vertical="center"/>
    </xf>
    <xf numFmtId="179" fontId="8" fillId="8" borderId="122" xfId="0" applyNumberFormat="1" applyFont="1" applyFill="1" applyBorder="1" applyAlignment="1">
      <alignment vertical="center"/>
    </xf>
    <xf numFmtId="0" fontId="8" fillId="8" borderId="123" xfId="0" applyNumberFormat="1" applyFont="1" applyFill="1" applyBorder="1" applyAlignment="1">
      <alignment horizontal="left" vertical="center" wrapText="1"/>
    </xf>
    <xf numFmtId="176" fontId="5" fillId="0" borderId="73" xfId="0" applyNumberFormat="1" applyFont="1" applyBorder="1" applyAlignment="1">
      <alignment vertical="center" shrinkToFit="1"/>
    </xf>
    <xf numFmtId="41" fontId="5" fillId="0" borderId="25" xfId="1" applyNumberFormat="1" applyFont="1" applyBorder="1" applyAlignment="1">
      <alignment horizontal="left" vertical="center"/>
    </xf>
    <xf numFmtId="41" fontId="5" fillId="0" borderId="52" xfId="1" applyNumberFormat="1" applyFont="1" applyBorder="1" applyAlignment="1">
      <alignment vertical="center"/>
    </xf>
    <xf numFmtId="41" fontId="5" fillId="0" borderId="52" xfId="1" applyNumberFormat="1" applyFont="1" applyBorder="1" applyAlignment="1">
      <alignment horizontal="left" vertical="center"/>
    </xf>
    <xf numFmtId="41" fontId="5" fillId="0" borderId="18" xfId="1" applyNumberFormat="1" applyFont="1" applyBorder="1" applyAlignment="1">
      <alignment vertical="center"/>
    </xf>
    <xf numFmtId="176" fontId="5" fillId="0" borderId="84" xfId="0" applyNumberFormat="1" applyFont="1" applyBorder="1" applyAlignment="1">
      <alignment vertical="center" shrinkToFit="1"/>
    </xf>
    <xf numFmtId="41" fontId="5" fillId="0" borderId="62" xfId="0" applyNumberFormat="1" applyFont="1" applyBorder="1" applyAlignment="1">
      <alignment vertical="center" shrinkToFit="1"/>
    </xf>
    <xf numFmtId="176" fontId="5" fillId="0" borderId="25" xfId="0" applyNumberFormat="1" applyFont="1" applyBorder="1" applyAlignment="1">
      <alignment vertical="center" shrinkToFit="1"/>
    </xf>
    <xf numFmtId="41" fontId="5" fillId="6" borderId="18" xfId="0" applyNumberFormat="1" applyFont="1" applyFill="1" applyBorder="1" applyAlignment="1">
      <alignment vertical="center" shrinkToFit="1"/>
    </xf>
    <xf numFmtId="41" fontId="5" fillId="6" borderId="62" xfId="0" applyNumberFormat="1" applyFont="1" applyFill="1" applyBorder="1" applyAlignment="1">
      <alignment vertical="center" shrinkToFit="1"/>
    </xf>
    <xf numFmtId="41" fontId="5" fillId="0" borderId="18" xfId="1" applyNumberFormat="1" applyFont="1" applyBorder="1" applyAlignment="1">
      <alignment horizontal="left" vertical="center"/>
    </xf>
    <xf numFmtId="41" fontId="5" fillId="5" borderId="52" xfId="1" applyNumberFormat="1" applyFont="1" applyFill="1" applyBorder="1" applyAlignment="1">
      <alignment horizontal="left" vertical="center"/>
    </xf>
    <xf numFmtId="0" fontId="5" fillId="0" borderId="52" xfId="0" applyNumberFormat="1" applyFont="1" applyBorder="1" applyAlignment="1">
      <alignment horizontal="center" vertical="center" shrinkToFit="1"/>
    </xf>
    <xf numFmtId="0" fontId="23" fillId="0" borderId="52" xfId="0" applyNumberFormat="1" applyFont="1" applyBorder="1" applyAlignment="1">
      <alignment horizontal="center" vertical="center" shrinkToFit="1"/>
    </xf>
    <xf numFmtId="41" fontId="5" fillId="5" borderId="124" xfId="1" applyNumberFormat="1" applyFont="1" applyFill="1" applyBorder="1" applyAlignment="1">
      <alignment vertical="center"/>
    </xf>
    <xf numFmtId="176" fontId="5" fillId="7" borderId="112" xfId="0" applyNumberFormat="1" applyFont="1" applyFill="1" applyBorder="1" applyAlignment="1">
      <alignment vertical="center" shrinkToFit="1"/>
    </xf>
    <xf numFmtId="41" fontId="6" fillId="7" borderId="51" xfId="1" applyNumberFormat="1" applyFont="1" applyFill="1" applyBorder="1" applyAlignment="1">
      <alignment vertical="center"/>
    </xf>
    <xf numFmtId="41" fontId="5" fillId="0" borderId="52" xfId="1" applyNumberFormat="1" applyFont="1" applyBorder="1" applyAlignment="1">
      <alignment vertical="center" shrinkToFit="1"/>
    </xf>
    <xf numFmtId="0" fontId="6" fillId="7" borderId="51" xfId="0" applyNumberFormat="1" applyFont="1" applyFill="1" applyBorder="1" applyAlignment="1">
      <alignment vertical="center"/>
    </xf>
    <xf numFmtId="178" fontId="24" fillId="5" borderId="49" xfId="0" applyNumberFormat="1" applyFont="1" applyFill="1" applyBorder="1" applyAlignment="1">
      <alignment vertical="center" shrinkToFit="1"/>
    </xf>
    <xf numFmtId="41" fontId="5" fillId="0" borderId="52" xfId="1" applyNumberFormat="1" applyFont="1" applyBorder="1" applyAlignment="1">
      <alignment horizontal="right" vertical="center" shrinkToFit="1"/>
    </xf>
    <xf numFmtId="41" fontId="5" fillId="5" borderId="52" xfId="1" applyNumberFormat="1" applyFont="1" applyFill="1" applyBorder="1" applyAlignment="1">
      <alignment horizontal="right" vertical="center" shrinkToFit="1"/>
    </xf>
    <xf numFmtId="41" fontId="5" fillId="7" borderId="52" xfId="0" applyNumberFormat="1" applyFont="1" applyFill="1" applyBorder="1" applyAlignment="1">
      <alignment vertical="center" shrinkToFit="1"/>
    </xf>
    <xf numFmtId="179" fontId="5" fillId="0" borderId="38" xfId="1" applyNumberFormat="1" applyFont="1" applyFill="1" applyBorder="1" applyAlignment="1">
      <alignment horizontal="right" vertical="center" shrinkToFit="1"/>
    </xf>
    <xf numFmtId="179" fontId="5" fillId="5" borderId="38" xfId="1" applyNumberFormat="1" applyFont="1" applyFill="1" applyBorder="1" applyAlignment="1">
      <alignment horizontal="right" vertical="center" shrinkToFit="1"/>
    </xf>
    <xf numFmtId="179" fontId="5" fillId="7" borderId="38" xfId="1" applyNumberFormat="1" applyFont="1" applyFill="1" applyBorder="1" applyAlignment="1">
      <alignment horizontal="right" vertical="center" shrinkToFit="1"/>
    </xf>
    <xf numFmtId="41" fontId="13" fillId="0" borderId="13" xfId="1" applyNumberFormat="1" applyFont="1" applyFill="1" applyBorder="1" applyAlignment="1">
      <alignment horizontal="center" vertical="center"/>
    </xf>
    <xf numFmtId="41" fontId="13" fillId="0" borderId="125" xfId="1" applyNumberFormat="1" applyFont="1" applyFill="1" applyBorder="1" applyAlignment="1">
      <alignment vertical="center"/>
    </xf>
    <xf numFmtId="0" fontId="6" fillId="0" borderId="73" xfId="0" applyNumberFormat="1" applyFont="1" applyBorder="1" applyAlignment="1">
      <alignment vertical="center"/>
    </xf>
    <xf numFmtId="0" fontId="6" fillId="0" borderId="25" xfId="0" applyNumberFormat="1" applyFont="1" applyBorder="1" applyAlignment="1">
      <alignment vertical="center"/>
    </xf>
    <xf numFmtId="0" fontId="6" fillId="0" borderId="49" xfId="0" applyNumberFormat="1" applyFont="1" applyBorder="1" applyAlignment="1">
      <alignment vertical="center"/>
    </xf>
    <xf numFmtId="41" fontId="8" fillId="0" borderId="18" xfId="1" applyNumberFormat="1" applyFont="1" applyFill="1" applyBorder="1" applyAlignment="1">
      <alignment vertical="center" shrinkToFit="1"/>
    </xf>
    <xf numFmtId="179" fontId="8" fillId="0" borderId="126" xfId="1" applyNumberFormat="1" applyFont="1" applyFill="1" applyBorder="1" applyAlignment="1">
      <alignment horizontal="right" vertical="center" shrinkToFit="1"/>
    </xf>
    <xf numFmtId="41" fontId="8" fillId="0" borderId="62" xfId="0" applyNumberFormat="1" applyFont="1" applyFill="1" applyBorder="1" applyAlignment="1">
      <alignment horizontal="center" vertical="center" shrinkToFit="1"/>
    </xf>
    <xf numFmtId="41" fontId="8" fillId="0" borderId="18" xfId="0" applyNumberFormat="1" applyFont="1" applyFill="1" applyBorder="1" applyAlignment="1">
      <alignment horizontal="center" vertical="center" shrinkToFit="1"/>
    </xf>
    <xf numFmtId="41" fontId="8" fillId="0" borderId="18" xfId="0" applyNumberFormat="1" applyFont="1" applyFill="1" applyBorder="1" applyAlignment="1">
      <alignment horizontal="center" vertical="center"/>
    </xf>
    <xf numFmtId="41" fontId="8" fillId="0" borderId="18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center" vertical="center" shrinkToFit="1"/>
    </xf>
    <xf numFmtId="41" fontId="5" fillId="0" borderId="0" xfId="1" applyNumberFormat="1" applyFont="1" applyBorder="1" applyAlignment="1">
      <alignment vertical="center" shrinkToFit="1"/>
    </xf>
    <xf numFmtId="0" fontId="5" fillId="0" borderId="0" xfId="0" applyNumberFormat="1" applyFont="1" applyFill="1" applyBorder="1" applyAlignment="1">
      <alignment vertical="center" shrinkToFit="1"/>
    </xf>
    <xf numFmtId="41" fontId="5" fillId="0" borderId="74" xfId="1" applyNumberFormat="1" applyFont="1" applyBorder="1" applyAlignment="1">
      <alignment horizontal="left" vertical="center"/>
    </xf>
    <xf numFmtId="178" fontId="5" fillId="0" borderId="71" xfId="1" applyNumberFormat="1" applyFont="1" applyFill="1" applyBorder="1" applyAlignment="1">
      <alignment horizontal="right" vertical="center"/>
    </xf>
    <xf numFmtId="178" fontId="23" fillId="0" borderId="71" xfId="0" applyNumberFormat="1" applyFont="1" applyBorder="1" applyAlignment="1">
      <alignment vertical="center" shrinkToFit="1"/>
    </xf>
    <xf numFmtId="41" fontId="5" fillId="0" borderId="26" xfId="1" applyNumberFormat="1" applyFont="1" applyBorder="1" applyAlignment="1">
      <alignment horizontal="right" vertical="center" shrinkToFit="1"/>
    </xf>
    <xf numFmtId="176" fontId="5" fillId="7" borderId="26" xfId="0" applyNumberFormat="1" applyFont="1" applyFill="1" applyBorder="1" applyAlignment="1">
      <alignment vertical="center" shrinkToFit="1"/>
    </xf>
    <xf numFmtId="41" fontId="5" fillId="7" borderId="38" xfId="0" applyNumberFormat="1" applyFont="1" applyFill="1" applyBorder="1" applyAlignment="1">
      <alignment horizontal="center" vertical="center"/>
    </xf>
    <xf numFmtId="41" fontId="5" fillId="7" borderId="52" xfId="0" applyNumberFormat="1" applyFont="1" applyFill="1" applyBorder="1" applyAlignment="1">
      <alignment horizontal="center" vertical="center"/>
    </xf>
    <xf numFmtId="0" fontId="6" fillId="0" borderId="17" xfId="0" applyNumberFormat="1" applyFont="1" applyFill="1" applyBorder="1" applyAlignment="1">
      <alignment horizontal="center" vertical="center"/>
    </xf>
    <xf numFmtId="41" fontId="5" fillId="5" borderId="26" xfId="1" applyNumberFormat="1" applyFont="1" applyFill="1" applyBorder="1" applyAlignment="1">
      <alignment horizontal="left" vertical="center"/>
    </xf>
    <xf numFmtId="178" fontId="5" fillId="5" borderId="71" xfId="1" applyNumberFormat="1" applyFont="1" applyFill="1" applyBorder="1" applyAlignment="1">
      <alignment horizontal="right" vertical="center"/>
    </xf>
    <xf numFmtId="0" fontId="6" fillId="0" borderId="17" xfId="0" applyNumberFormat="1" applyFont="1" applyFill="1" applyBorder="1" applyAlignment="1">
      <alignment horizontal="center" vertical="center" shrinkToFit="1"/>
    </xf>
    <xf numFmtId="41" fontId="5" fillId="0" borderId="17" xfId="0" applyNumberFormat="1" applyFont="1" applyFill="1" applyBorder="1" applyAlignment="1">
      <alignment horizontal="center" vertical="center"/>
    </xf>
    <xf numFmtId="41" fontId="5" fillId="0" borderId="17" xfId="0" applyNumberFormat="1" applyFont="1" applyFill="1" applyBorder="1" applyAlignment="1">
      <alignment vertical="center"/>
    </xf>
    <xf numFmtId="41" fontId="5" fillId="0" borderId="22" xfId="1" applyNumberFormat="1" applyFont="1" applyFill="1" applyBorder="1" applyAlignment="1">
      <alignment horizontal="right" vertical="center" shrinkToFit="1"/>
    </xf>
    <xf numFmtId="41" fontId="5" fillId="0" borderId="73" xfId="1" applyNumberFormat="1" applyFont="1" applyFill="1" applyBorder="1" applyAlignment="1">
      <alignment horizontal="right" vertical="center" shrinkToFit="1"/>
    </xf>
    <xf numFmtId="41" fontId="5" fillId="0" borderId="17" xfId="1" applyNumberFormat="1" applyFont="1" applyFill="1" applyBorder="1" applyAlignment="1">
      <alignment horizontal="left" vertical="center"/>
    </xf>
    <xf numFmtId="41" fontId="5" fillId="0" borderId="18" xfId="1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center" vertical="center" shrinkToFit="1"/>
    </xf>
    <xf numFmtId="186" fontId="23" fillId="0" borderId="17" xfId="0" applyNumberFormat="1" applyFont="1" applyFill="1" applyBorder="1" applyAlignment="1">
      <alignment horizontal="right" vertical="center" shrinkToFit="1"/>
    </xf>
    <xf numFmtId="41" fontId="6" fillId="0" borderId="26" xfId="1" applyNumberFormat="1" applyFont="1" applyFill="1" applyBorder="1" applyAlignment="1">
      <alignment horizontal="center" vertical="center"/>
    </xf>
    <xf numFmtId="178" fontId="5" fillId="0" borderId="38" xfId="1" applyNumberFormat="1" applyFont="1" applyFill="1" applyBorder="1" applyAlignment="1">
      <alignment horizontal="right" vertical="center"/>
    </xf>
    <xf numFmtId="0" fontId="6" fillId="0" borderId="22" xfId="0" applyNumberFormat="1" applyFont="1" applyFill="1" applyBorder="1" applyAlignment="1">
      <alignment horizontal="center" vertical="center"/>
    </xf>
    <xf numFmtId="41" fontId="5" fillId="0" borderId="22" xfId="0" applyNumberFormat="1" applyFont="1" applyFill="1" applyBorder="1" applyAlignment="1">
      <alignment vertical="center" shrinkToFit="1"/>
    </xf>
    <xf numFmtId="41" fontId="5" fillId="0" borderId="26" xfId="1" applyNumberFormat="1" applyFont="1" applyFill="1" applyBorder="1" applyAlignment="1">
      <alignment horizontal="left" vertical="center"/>
    </xf>
    <xf numFmtId="41" fontId="5" fillId="0" borderId="18" xfId="1" applyNumberFormat="1" applyFont="1" applyFill="1" applyBorder="1" applyAlignment="1">
      <alignment horizontal="right" vertical="center" shrinkToFit="1"/>
    </xf>
    <xf numFmtId="41" fontId="5" fillId="0" borderId="112" xfId="1" applyNumberFormat="1" applyFont="1" applyFill="1" applyBorder="1" applyAlignment="1">
      <alignment horizontal="right" vertical="center" shrinkToFit="1"/>
    </xf>
    <xf numFmtId="176" fontId="8" fillId="4" borderId="127" xfId="4" applyNumberFormat="1" applyFont="1" applyFill="1" applyBorder="1" applyAlignment="1">
      <alignment horizontal="left" vertical="center" shrinkToFit="1"/>
    </xf>
    <xf numFmtId="0" fontId="7" fillId="0" borderId="17" xfId="0" applyNumberFormat="1" applyFont="1" applyFill="1" applyBorder="1" applyAlignment="1">
      <alignment horizontal="center" vertical="center"/>
    </xf>
    <xf numFmtId="180" fontId="8" fillId="0" borderId="17" xfId="0" applyNumberFormat="1" applyFont="1" applyFill="1" applyBorder="1" applyAlignment="1">
      <alignment vertical="center"/>
    </xf>
    <xf numFmtId="0" fontId="8" fillId="0" borderId="68" xfId="0" applyNumberFormat="1" applyFont="1" applyFill="1" applyBorder="1" applyAlignment="1">
      <alignment horizontal="left" vertical="center" wrapText="1"/>
    </xf>
    <xf numFmtId="176" fontId="8" fillId="4" borderId="128" xfId="4" applyNumberFormat="1" applyFont="1" applyFill="1" applyBorder="1" applyAlignment="1">
      <alignment horizontal="left" vertical="center" shrinkToFit="1"/>
    </xf>
    <xf numFmtId="0" fontId="7" fillId="4" borderId="51" xfId="0" applyNumberFormat="1" applyFont="1" applyFill="1" applyBorder="1" applyAlignment="1">
      <alignment horizontal="center" vertical="center" shrinkToFit="1"/>
    </xf>
    <xf numFmtId="0" fontId="7" fillId="4" borderId="18" xfId="0" applyNumberFormat="1" applyFont="1" applyFill="1" applyBorder="1" applyAlignment="1">
      <alignment horizontal="center" vertical="center" shrinkToFit="1"/>
    </xf>
    <xf numFmtId="41" fontId="8" fillId="4" borderId="18" xfId="4" applyNumberFormat="1" applyFont="1" applyFill="1" applyBorder="1" applyAlignment="1">
      <alignment horizontal="right" vertical="center" shrinkToFit="1"/>
    </xf>
    <xf numFmtId="0" fontId="7" fillId="4" borderId="61" xfId="0" applyNumberFormat="1" applyFont="1" applyFill="1" applyBorder="1" applyAlignment="1">
      <alignment horizontal="center" vertical="center" shrinkToFit="1"/>
    </xf>
    <xf numFmtId="0" fontId="7" fillId="4" borderId="19" xfId="0" applyNumberFormat="1" applyFont="1" applyFill="1" applyBorder="1" applyAlignment="1">
      <alignment horizontal="center" vertical="center" shrinkToFit="1"/>
    </xf>
    <xf numFmtId="41" fontId="8" fillId="4" borderId="19" xfId="0" applyNumberFormat="1" applyFont="1" applyFill="1" applyBorder="1" applyAlignment="1">
      <alignment horizontal="right" vertical="center" shrinkToFit="1"/>
    </xf>
    <xf numFmtId="0" fontId="7" fillId="4" borderId="129" xfId="0" applyNumberFormat="1" applyFont="1" applyFill="1" applyBorder="1" applyAlignment="1">
      <alignment horizontal="center" vertical="center" shrinkToFit="1"/>
    </xf>
    <xf numFmtId="0" fontId="7" fillId="4" borderId="130" xfId="0" applyNumberFormat="1" applyFont="1" applyFill="1" applyBorder="1" applyAlignment="1">
      <alignment horizontal="center" vertical="center" shrinkToFit="1"/>
    </xf>
    <xf numFmtId="180" fontId="8" fillId="0" borderId="19" xfId="0" applyNumberFormat="1" applyFont="1" applyFill="1" applyBorder="1" applyAlignment="1">
      <alignment vertical="center"/>
    </xf>
    <xf numFmtId="0" fontId="6" fillId="6" borderId="25" xfId="0" applyNumberFormat="1" applyFont="1" applyFill="1" applyBorder="1" applyAlignment="1">
      <alignment vertical="center"/>
    </xf>
    <xf numFmtId="0" fontId="6" fillId="7" borderId="25" xfId="0" applyNumberFormat="1" applyFont="1" applyFill="1" applyBorder="1" applyAlignment="1">
      <alignment vertical="center"/>
    </xf>
    <xf numFmtId="41" fontId="13" fillId="2" borderId="16" xfId="1" applyNumberFormat="1" applyFont="1" applyFill="1" applyBorder="1" applyAlignment="1">
      <alignment horizontal="center" vertical="center" wrapText="1"/>
    </xf>
    <xf numFmtId="178" fontId="18" fillId="6" borderId="71" xfId="0" applyNumberFormat="1" applyFont="1" applyFill="1" applyBorder="1" applyAlignment="1">
      <alignment horizontal="right" vertical="center"/>
    </xf>
    <xf numFmtId="178" fontId="18" fillId="7" borderId="72" xfId="0" applyNumberFormat="1" applyFont="1" applyFill="1" applyBorder="1" applyAlignment="1">
      <alignment horizontal="right" vertical="center"/>
    </xf>
    <xf numFmtId="0" fontId="6" fillId="0" borderId="131" xfId="0" applyNumberFormat="1" applyFont="1" applyBorder="1" applyAlignment="1">
      <alignment vertical="center" wrapText="1"/>
    </xf>
    <xf numFmtId="0" fontId="6" fillId="0" borderId="132" xfId="0" applyNumberFormat="1" applyFont="1" applyBorder="1" applyAlignment="1">
      <alignment horizontal="center" vertical="center" wrapText="1"/>
    </xf>
    <xf numFmtId="176" fontId="5" fillId="0" borderId="73" xfId="1" applyNumberFormat="1" applyFont="1" applyFill="1" applyBorder="1" applyAlignment="1">
      <alignment vertical="center" shrinkToFit="1"/>
    </xf>
    <xf numFmtId="176" fontId="5" fillId="0" borderId="75" xfId="1" applyNumberFormat="1" applyFont="1" applyFill="1" applyBorder="1" applyAlignment="1">
      <alignment horizontal="right" vertical="center" shrinkToFit="1"/>
    </xf>
    <xf numFmtId="176" fontId="5" fillId="0" borderId="25" xfId="1" applyNumberFormat="1" applyFont="1" applyFill="1" applyBorder="1" applyAlignment="1">
      <alignment horizontal="right" vertical="center" shrinkToFit="1"/>
    </xf>
    <xf numFmtId="41" fontId="5" fillId="0" borderId="73" xfId="0" applyNumberFormat="1" applyFont="1" applyBorder="1" applyAlignment="1">
      <alignment vertical="center"/>
    </xf>
    <xf numFmtId="41" fontId="5" fillId="7" borderId="73" xfId="0" applyNumberFormat="1" applyFont="1" applyFill="1" applyBorder="1" applyAlignment="1">
      <alignment horizontal="center" vertical="center"/>
    </xf>
    <xf numFmtId="176" fontId="5" fillId="0" borderId="89" xfId="0" applyNumberFormat="1" applyFont="1" applyBorder="1" applyAlignment="1">
      <alignment vertical="center" shrinkToFit="1"/>
    </xf>
    <xf numFmtId="176" fontId="5" fillId="0" borderId="112" xfId="0" applyNumberFormat="1" applyFont="1" applyFill="1" applyBorder="1" applyAlignment="1">
      <alignment vertical="center" shrinkToFit="1"/>
    </xf>
    <xf numFmtId="176" fontId="5" fillId="6" borderId="73" xfId="0" applyNumberFormat="1" applyFont="1" applyFill="1" applyBorder="1" applyAlignment="1">
      <alignment vertical="center" shrinkToFit="1"/>
    </xf>
    <xf numFmtId="176" fontId="5" fillId="7" borderId="75" xfId="0" applyNumberFormat="1" applyFont="1" applyFill="1" applyBorder="1" applyAlignment="1">
      <alignment vertical="center" shrinkToFit="1"/>
    </xf>
    <xf numFmtId="0" fontId="5" fillId="6" borderId="77" xfId="1" applyNumberFormat="1" applyFont="1" applyFill="1" applyBorder="1" applyAlignment="1">
      <alignment vertical="center"/>
    </xf>
    <xf numFmtId="0" fontId="5" fillId="7" borderId="133" xfId="1" applyNumberFormat="1" applyFont="1" applyFill="1" applyBorder="1" applyAlignment="1">
      <alignment vertical="center"/>
    </xf>
    <xf numFmtId="0" fontId="5" fillId="5" borderId="134" xfId="0" applyNumberFormat="1" applyFont="1" applyFill="1" applyBorder="1" applyAlignment="1">
      <alignment vertical="center" shrinkToFit="1"/>
    </xf>
    <xf numFmtId="0" fontId="5" fillId="0" borderId="22" xfId="0" applyNumberFormat="1" applyFont="1" applyFill="1" applyBorder="1" applyAlignment="1">
      <alignment horizontal="center" vertical="center" shrinkToFit="1"/>
    </xf>
    <xf numFmtId="0" fontId="5" fillId="0" borderId="22" xfId="0" applyNumberFormat="1" applyFont="1" applyFill="1" applyBorder="1" applyAlignment="1">
      <alignment vertical="center" shrinkToFit="1"/>
    </xf>
    <xf numFmtId="0" fontId="5" fillId="5" borderId="135" xfId="0" applyNumberFormat="1" applyFont="1" applyFill="1" applyBorder="1" applyAlignment="1">
      <alignment vertical="center" shrinkToFit="1"/>
    </xf>
    <xf numFmtId="0" fontId="5" fillId="0" borderId="22" xfId="0" applyNumberFormat="1" applyFont="1" applyFill="1" applyBorder="1" applyAlignment="1">
      <alignment horizontal="right" vertical="center" shrinkToFit="1"/>
    </xf>
    <xf numFmtId="0" fontId="5" fillId="5" borderId="133" xfId="0" applyNumberFormat="1" applyFont="1" applyFill="1" applyBorder="1" applyAlignment="1">
      <alignment vertical="center" shrinkToFit="1"/>
    </xf>
    <xf numFmtId="0" fontId="5" fillId="0" borderId="135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62" xfId="0" applyNumberFormat="1" applyFont="1" applyFill="1" applyBorder="1" applyAlignment="1">
      <alignment horizontal="center" vertical="center" shrinkToFit="1"/>
    </xf>
    <xf numFmtId="0" fontId="6" fillId="0" borderId="22" xfId="0" applyNumberFormat="1" applyFont="1" applyBorder="1" applyAlignment="1">
      <alignment horizontal="center" vertical="center" shrinkToFit="1"/>
    </xf>
    <xf numFmtId="0" fontId="6" fillId="0" borderId="62" xfId="0" applyNumberFormat="1" applyFont="1" applyBorder="1" applyAlignment="1">
      <alignment horizontal="center" vertical="center" shrinkToFit="1"/>
    </xf>
    <xf numFmtId="0" fontId="6" fillId="7" borderId="133" xfId="0" applyNumberFormat="1" applyFont="1" applyFill="1" applyBorder="1" applyAlignment="1">
      <alignment vertical="center"/>
    </xf>
    <xf numFmtId="0" fontId="6" fillId="5" borderId="134" xfId="0" applyNumberFormat="1" applyFont="1" applyFill="1" applyBorder="1" applyAlignment="1">
      <alignment horizontal="left" vertical="center"/>
    </xf>
    <xf numFmtId="0" fontId="6" fillId="5" borderId="135" xfId="0" applyNumberFormat="1" applyFont="1" applyFill="1" applyBorder="1" applyAlignment="1">
      <alignment horizontal="left" vertical="center"/>
    </xf>
    <xf numFmtId="0" fontId="6" fillId="0" borderId="62" xfId="0" applyNumberFormat="1" applyFont="1" applyBorder="1" applyAlignment="1">
      <alignment horizontal="center" vertical="center" wrapText="1"/>
    </xf>
    <xf numFmtId="0" fontId="6" fillId="7" borderId="135" xfId="0" applyNumberFormat="1" applyFont="1" applyFill="1" applyBorder="1" applyAlignment="1">
      <alignment vertical="center"/>
    </xf>
    <xf numFmtId="0" fontId="6" fillId="0" borderId="22" xfId="0" applyNumberFormat="1" applyFont="1" applyBorder="1" applyAlignment="1">
      <alignment horizontal="left" vertical="center"/>
    </xf>
    <xf numFmtId="0" fontId="6" fillId="0" borderId="22" xfId="0" applyNumberFormat="1" applyFont="1" applyBorder="1" applyAlignment="1">
      <alignment horizontal="center" vertical="center" wrapText="1"/>
    </xf>
    <xf numFmtId="0" fontId="6" fillId="0" borderId="62" xfId="0" applyNumberFormat="1" applyFont="1" applyBorder="1" applyAlignment="1">
      <alignment horizontal="center" vertical="center"/>
    </xf>
    <xf numFmtId="0" fontId="6" fillId="0" borderId="135" xfId="0" applyNumberFormat="1" applyFont="1" applyBorder="1" applyAlignment="1">
      <alignment horizontal="center" vertical="center"/>
    </xf>
    <xf numFmtId="41" fontId="6" fillId="0" borderId="22" xfId="0" applyNumberFormat="1" applyFont="1" applyBorder="1" applyAlignment="1">
      <alignment horizontal="center" vertical="center"/>
    </xf>
    <xf numFmtId="0" fontId="6" fillId="0" borderId="133" xfId="0" applyNumberFormat="1" applyFont="1" applyBorder="1" applyAlignment="1">
      <alignment horizontal="center" vertical="center"/>
    </xf>
    <xf numFmtId="0" fontId="6" fillId="5" borderId="136" xfId="0" applyNumberFormat="1" applyFont="1" applyFill="1" applyBorder="1" applyAlignment="1">
      <alignment horizontal="left" vertical="center"/>
    </xf>
    <xf numFmtId="0" fontId="6" fillId="6" borderId="133" xfId="0" applyNumberFormat="1" applyFont="1" applyFill="1" applyBorder="1" applyAlignment="1">
      <alignment vertical="center"/>
    </xf>
    <xf numFmtId="0" fontId="6" fillId="5" borderId="84" xfId="0" applyNumberFormat="1" applyFont="1" applyFill="1" applyBorder="1" applyAlignment="1">
      <alignment horizontal="left" vertical="center"/>
    </xf>
    <xf numFmtId="0" fontId="6" fillId="6" borderId="135" xfId="0" applyNumberFormat="1" applyFont="1" applyFill="1" applyBorder="1" applyAlignment="1">
      <alignment vertical="center"/>
    </xf>
    <xf numFmtId="0" fontId="6" fillId="7" borderId="84" xfId="0" applyNumberFormat="1" applyFont="1" applyFill="1" applyBorder="1" applyAlignment="1">
      <alignment vertical="center"/>
    </xf>
    <xf numFmtId="0" fontId="6" fillId="0" borderId="62" xfId="0" applyNumberFormat="1" applyFont="1" applyFill="1" applyBorder="1" applyAlignment="1">
      <alignment horizontal="center" vertical="center"/>
    </xf>
    <xf numFmtId="0" fontId="6" fillId="0" borderId="22" xfId="0" applyNumberFormat="1" applyFont="1" applyFill="1" applyBorder="1" applyAlignment="1">
      <alignment horizontal="left" vertical="center"/>
    </xf>
    <xf numFmtId="178" fontId="6" fillId="7" borderId="135" xfId="0" applyNumberFormat="1" applyFont="1" applyFill="1" applyBorder="1" applyAlignment="1">
      <alignment vertical="center"/>
    </xf>
    <xf numFmtId="0" fontId="6" fillId="6" borderId="84" xfId="0" applyNumberFormat="1" applyFont="1" applyFill="1" applyBorder="1" applyAlignment="1">
      <alignment vertical="center"/>
    </xf>
    <xf numFmtId="41" fontId="6" fillId="0" borderId="137" xfId="0" applyNumberFormat="1" applyFont="1" applyBorder="1" applyAlignment="1">
      <alignment horizontal="center" vertical="center" shrinkToFit="1"/>
    </xf>
    <xf numFmtId="41" fontId="5" fillId="0" borderId="79" xfId="1" applyNumberFormat="1" applyFont="1" applyBorder="1" applyAlignment="1">
      <alignment horizontal="right" vertical="center" shrinkToFit="1"/>
    </xf>
    <xf numFmtId="41" fontId="5" fillId="6" borderId="65" xfId="1" applyNumberFormat="1" applyFont="1" applyFill="1" applyBorder="1" applyAlignment="1">
      <alignment horizontal="right" vertical="center" shrinkToFit="1"/>
    </xf>
    <xf numFmtId="41" fontId="5" fillId="7" borderId="25" xfId="1" applyNumberFormat="1" applyFont="1" applyFill="1" applyBorder="1" applyAlignment="1">
      <alignment horizontal="right" vertical="center" shrinkToFit="1"/>
    </xf>
    <xf numFmtId="41" fontId="5" fillId="6" borderId="52" xfId="0" applyNumberFormat="1" applyFont="1" applyFill="1" applyBorder="1" applyAlignment="1">
      <alignment vertical="center" shrinkToFit="1"/>
    </xf>
    <xf numFmtId="41" fontId="5" fillId="0" borderId="25" xfId="1" applyNumberFormat="1" applyFont="1" applyFill="1" applyBorder="1" applyAlignment="1">
      <alignment horizontal="right" vertical="center" shrinkToFit="1"/>
    </xf>
    <xf numFmtId="41" fontId="5" fillId="0" borderId="52" xfId="1" applyNumberFormat="1" applyFont="1" applyFill="1" applyBorder="1" applyAlignment="1">
      <alignment horizontal="right" vertical="center" shrinkToFit="1"/>
    </xf>
    <xf numFmtId="41" fontId="5" fillId="5" borderId="53" xfId="1" applyNumberFormat="1" applyFont="1" applyFill="1" applyBorder="1" applyAlignment="1">
      <alignment horizontal="right" vertical="center" shrinkToFit="1"/>
    </xf>
    <xf numFmtId="41" fontId="5" fillId="8" borderId="61" xfId="0" applyNumberFormat="1" applyFont="1" applyFill="1" applyBorder="1" applyAlignment="1">
      <alignment vertical="center" shrinkToFit="1"/>
    </xf>
    <xf numFmtId="41" fontId="5" fillId="0" borderId="138" xfId="1" applyNumberFormat="1" applyFont="1" applyBorder="1" applyAlignment="1">
      <alignment horizontal="right" vertical="center" shrinkToFit="1"/>
    </xf>
    <xf numFmtId="41" fontId="5" fillId="6" borderId="23" xfId="1" applyNumberFormat="1" applyFont="1" applyFill="1" applyBorder="1" applyAlignment="1">
      <alignment horizontal="right" vertical="center" shrinkToFit="1"/>
    </xf>
    <xf numFmtId="41" fontId="5" fillId="7" borderId="22" xfId="0" applyNumberFormat="1" applyFont="1" applyFill="1" applyBorder="1" applyAlignment="1">
      <alignment horizontal="center" vertical="center"/>
    </xf>
    <xf numFmtId="41" fontId="5" fillId="0" borderId="25" xfId="1" applyNumberFormat="1" applyFont="1" applyBorder="1" applyAlignment="1">
      <alignment vertical="center"/>
    </xf>
    <xf numFmtId="178" fontId="5" fillId="0" borderId="49" xfId="1" applyNumberFormat="1" applyFont="1" applyBorder="1" applyAlignment="1">
      <alignment horizontal="right" vertical="center"/>
    </xf>
    <xf numFmtId="0" fontId="6" fillId="0" borderId="22" xfId="0" applyNumberFormat="1" applyFont="1" applyBorder="1" applyAlignment="1">
      <alignment horizontal="center" vertical="center" wrapText="1" shrinkToFit="1"/>
    </xf>
    <xf numFmtId="0" fontId="23" fillId="0" borderId="113" xfId="0" applyNumberFormat="1" applyFont="1" applyBorder="1" applyAlignment="1">
      <alignment horizontal="center" vertical="center" shrinkToFit="1"/>
    </xf>
    <xf numFmtId="186" fontId="23" fillId="0" borderId="113" xfId="0" applyNumberFormat="1" applyFont="1" applyBorder="1" applyAlignment="1">
      <alignment vertical="center" shrinkToFit="1"/>
    </xf>
    <xf numFmtId="0" fontId="6" fillId="5" borderId="133" xfId="0" applyNumberFormat="1" applyFont="1" applyFill="1" applyBorder="1" applyAlignment="1">
      <alignment horizontal="left" vertical="center"/>
    </xf>
    <xf numFmtId="178" fontId="5" fillId="0" borderId="52" xfId="1" applyNumberFormat="1" applyFont="1" applyBorder="1" applyAlignment="1">
      <alignment horizontal="right" vertical="center"/>
    </xf>
    <xf numFmtId="0" fontId="6" fillId="0" borderId="136" xfId="0" applyNumberFormat="1" applyFont="1" applyBorder="1" applyAlignment="1">
      <alignment horizontal="center" vertical="center"/>
    </xf>
    <xf numFmtId="41" fontId="5" fillId="0" borderId="113" xfId="1" applyNumberFormat="1" applyFont="1" applyBorder="1" applyAlignment="1">
      <alignment horizontal="left" vertical="center"/>
    </xf>
    <xf numFmtId="41" fontId="6" fillId="0" borderId="25" xfId="1" applyNumberFormat="1" applyFont="1" applyBorder="1" applyAlignment="1">
      <alignment horizontal="center" vertical="center"/>
    </xf>
    <xf numFmtId="41" fontId="5" fillId="0" borderId="18" xfId="1" applyNumberFormat="1" applyFont="1" applyFill="1" applyBorder="1" applyAlignment="1">
      <alignment horizontal="left" vertical="center"/>
    </xf>
    <xf numFmtId="0" fontId="6" fillId="0" borderId="62" xfId="0" applyNumberFormat="1" applyFont="1" applyFill="1" applyBorder="1" applyAlignment="1">
      <alignment horizontal="left" vertical="center"/>
    </xf>
    <xf numFmtId="41" fontId="5" fillId="0" borderId="2" xfId="1" applyNumberFormat="1" applyFont="1" applyBorder="1" applyAlignment="1">
      <alignment vertical="center"/>
    </xf>
    <xf numFmtId="0" fontId="23" fillId="0" borderId="2" xfId="0" applyNumberFormat="1" applyFont="1" applyBorder="1" applyAlignment="1">
      <alignment horizontal="center" vertical="center" shrinkToFit="1"/>
    </xf>
    <xf numFmtId="186" fontId="23" fillId="0" borderId="2" xfId="0" applyNumberFormat="1" applyFont="1" applyBorder="1" applyAlignment="1">
      <alignment horizontal="right" vertical="center" shrinkToFit="1"/>
    </xf>
    <xf numFmtId="0" fontId="23" fillId="0" borderId="18" xfId="0" applyNumberFormat="1" applyFont="1" applyFill="1" applyBorder="1" applyAlignment="1">
      <alignment horizontal="center" vertical="center" shrinkToFit="1"/>
    </xf>
    <xf numFmtId="186" fontId="23" fillId="0" borderId="18" xfId="0" applyNumberFormat="1" applyFont="1" applyBorder="1" applyAlignment="1">
      <alignment horizontal="right" vertical="center" shrinkToFit="1"/>
    </xf>
    <xf numFmtId="41" fontId="5" fillId="0" borderId="17" xfId="1" applyNumberFormat="1" applyFont="1" applyFill="1" applyBorder="1" applyAlignment="1">
      <alignment vertical="center"/>
    </xf>
    <xf numFmtId="0" fontId="8" fillId="7" borderId="68" xfId="1" applyNumberFormat="1" applyFont="1" applyFill="1" applyBorder="1" applyAlignment="1">
      <alignment horizontal="right" vertical="center" shrinkToFit="1"/>
    </xf>
    <xf numFmtId="41" fontId="8" fillId="4" borderId="133" xfId="0" applyNumberFormat="1" applyFont="1" applyFill="1" applyBorder="1" applyAlignment="1">
      <alignment horizontal="center" vertical="center" shrinkToFit="1"/>
    </xf>
    <xf numFmtId="41" fontId="8" fillId="4" borderId="135" xfId="0" applyNumberFormat="1" applyFont="1" applyFill="1" applyBorder="1" applyAlignment="1">
      <alignment horizontal="center" vertical="center" shrinkToFit="1"/>
    </xf>
    <xf numFmtId="180" fontId="8" fillId="8" borderId="39" xfId="1" applyNumberFormat="1" applyFont="1" applyFill="1" applyBorder="1" applyAlignment="1">
      <alignment horizontal="right" vertical="center" shrinkToFit="1"/>
    </xf>
    <xf numFmtId="41" fontId="8" fillId="4" borderId="139" xfId="0" applyNumberFormat="1" applyFont="1" applyFill="1" applyBorder="1" applyAlignment="1">
      <alignment horizontal="center" vertical="center" shrinkToFit="1"/>
    </xf>
    <xf numFmtId="41" fontId="8" fillId="4" borderId="19" xfId="0" applyNumberFormat="1" applyFont="1" applyFill="1" applyBorder="1" applyAlignment="1">
      <alignment horizontal="center" vertical="center" shrinkToFit="1"/>
    </xf>
    <xf numFmtId="41" fontId="8" fillId="4" borderId="19" xfId="0" applyNumberFormat="1" applyFont="1" applyFill="1" applyBorder="1" applyAlignment="1">
      <alignment vertical="center" shrinkToFit="1"/>
    </xf>
    <xf numFmtId="41" fontId="8" fillId="4" borderId="19" xfId="1" applyNumberFormat="1" applyFont="1" applyFill="1" applyBorder="1" applyAlignment="1">
      <alignment vertical="center" shrinkToFit="1"/>
    </xf>
    <xf numFmtId="41" fontId="8" fillId="0" borderId="19" xfId="1" applyNumberFormat="1" applyFont="1" applyFill="1" applyBorder="1" applyAlignment="1">
      <alignment vertical="center" shrinkToFit="1"/>
    </xf>
    <xf numFmtId="179" fontId="8" fillId="0" borderId="140" xfId="1" applyNumberFormat="1" applyFont="1" applyFill="1" applyBorder="1" applyAlignment="1">
      <alignment horizontal="right" vertical="center" shrinkToFit="1"/>
    </xf>
    <xf numFmtId="0" fontId="6" fillId="6" borderId="62" xfId="0" applyNumberFormat="1" applyFont="1" applyFill="1" applyBorder="1" applyAlignment="1">
      <alignment horizontal="center" vertical="center" shrinkToFit="1"/>
    </xf>
    <xf numFmtId="0" fontId="6" fillId="6" borderId="18" xfId="0" applyNumberFormat="1" applyFont="1" applyFill="1" applyBorder="1" applyAlignment="1">
      <alignment horizontal="center" vertical="center" shrinkToFit="1"/>
    </xf>
    <xf numFmtId="0" fontId="6" fillId="0" borderId="22" xfId="0" applyNumberFormat="1" applyFont="1" applyFill="1" applyBorder="1" applyAlignment="1">
      <alignment horizontal="center" vertical="center" shrinkToFit="1"/>
    </xf>
    <xf numFmtId="0" fontId="6" fillId="6" borderId="22" xfId="0" applyNumberFormat="1" applyFont="1" applyFill="1" applyBorder="1" applyAlignment="1">
      <alignment horizontal="center" vertical="center" shrinkToFit="1"/>
    </xf>
    <xf numFmtId="0" fontId="6" fillId="0" borderId="22" xfId="0" applyNumberFormat="1" applyFont="1" applyBorder="1" applyAlignment="1">
      <alignment vertical="center"/>
    </xf>
    <xf numFmtId="0" fontId="6" fillId="0" borderId="17" xfId="0" applyNumberFormat="1" applyFont="1" applyBorder="1" applyAlignment="1">
      <alignment vertical="center"/>
    </xf>
    <xf numFmtId="180" fontId="5" fillId="0" borderId="17" xfId="0" applyNumberFormat="1" applyFont="1" applyBorder="1" applyAlignment="1">
      <alignment horizontal="right" vertical="center"/>
    </xf>
    <xf numFmtId="0" fontId="8" fillId="0" borderId="141" xfId="0" applyNumberFormat="1" applyFont="1" applyBorder="1" applyAlignment="1">
      <alignment horizontal="center" vertical="center"/>
    </xf>
    <xf numFmtId="0" fontId="8" fillId="0" borderId="88" xfId="0" applyNumberFormat="1" applyFont="1" applyBorder="1" applyAlignment="1">
      <alignment horizontal="center" vertical="center"/>
    </xf>
    <xf numFmtId="41" fontId="5" fillId="0" borderId="88" xfId="0" applyNumberFormat="1" applyFont="1" applyBorder="1" applyAlignment="1">
      <alignment horizontal="right" vertical="center"/>
    </xf>
    <xf numFmtId="41" fontId="5" fillId="0" borderId="88" xfId="0" applyNumberFormat="1" applyFont="1" applyBorder="1" applyAlignment="1">
      <alignment vertical="center"/>
    </xf>
    <xf numFmtId="41" fontId="5" fillId="0" borderId="88" xfId="1" applyNumberFormat="1" applyFont="1" applyBorder="1" applyAlignment="1">
      <alignment vertical="center"/>
    </xf>
    <xf numFmtId="180" fontId="5" fillId="0" borderId="88" xfId="0" applyNumberFormat="1" applyFont="1" applyBorder="1" applyAlignment="1">
      <alignment vertical="center"/>
    </xf>
    <xf numFmtId="0" fontId="6" fillId="0" borderId="83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41" fontId="5" fillId="0" borderId="19" xfId="1" applyNumberFormat="1" applyFont="1" applyFill="1" applyBorder="1" applyAlignment="1">
      <alignment horizontal="right" vertical="center" shrinkToFit="1"/>
    </xf>
    <xf numFmtId="0" fontId="5" fillId="0" borderId="142" xfId="0" applyNumberFormat="1" applyFont="1" applyBorder="1" applyAlignment="1">
      <alignment horizontal="center" vertical="center"/>
    </xf>
    <xf numFmtId="41" fontId="5" fillId="8" borderId="31" xfId="1" applyNumberFormat="1" applyFont="1" applyFill="1" applyBorder="1" applyAlignment="1">
      <alignment vertical="center"/>
    </xf>
    <xf numFmtId="178" fontId="5" fillId="8" borderId="143" xfId="1" applyNumberFormat="1" applyFont="1" applyFill="1" applyBorder="1" applyAlignment="1">
      <alignment vertical="center"/>
    </xf>
    <xf numFmtId="0" fontId="7" fillId="4" borderId="144" xfId="0" applyNumberFormat="1" applyFont="1" applyFill="1" applyBorder="1" applyAlignment="1">
      <alignment horizontal="center" vertical="center" shrinkToFit="1"/>
    </xf>
    <xf numFmtId="41" fontId="8" fillId="4" borderId="144" xfId="0" applyNumberFormat="1" applyFont="1" applyFill="1" applyBorder="1" applyAlignment="1">
      <alignment horizontal="right" vertical="center" shrinkToFit="1"/>
    </xf>
    <xf numFmtId="41" fontId="8" fillId="4" borderId="144" xfId="4" applyNumberFormat="1" applyFont="1" applyFill="1" applyBorder="1" applyAlignment="1">
      <alignment horizontal="right" vertical="center" shrinkToFit="1"/>
    </xf>
    <xf numFmtId="180" fontId="8" fillId="4" borderId="144" xfId="0" applyNumberFormat="1" applyFont="1" applyFill="1" applyBorder="1" applyAlignment="1">
      <alignment horizontal="right" vertical="center" shrinkToFit="1"/>
    </xf>
    <xf numFmtId="176" fontId="8" fillId="4" borderId="145" xfId="4" applyNumberFormat="1" applyFont="1" applyFill="1" applyBorder="1" applyAlignment="1">
      <alignment horizontal="left" vertical="center" shrinkToFit="1"/>
    </xf>
    <xf numFmtId="0" fontId="0" fillId="4" borderId="0" xfId="0" applyNumberFormat="1" applyFill="1" applyBorder="1" applyAlignment="1"/>
    <xf numFmtId="0" fontId="0" fillId="4" borderId="27" xfId="0" applyNumberFormat="1" applyFill="1" applyBorder="1" applyAlignment="1"/>
    <xf numFmtId="41" fontId="10" fillId="0" borderId="0" xfId="1" applyNumberFormat="1" applyFont="1" applyBorder="1" applyAlignment="1">
      <alignment horizontal="center" vertical="center"/>
    </xf>
    <xf numFmtId="41" fontId="7" fillId="0" borderId="15" xfId="0" applyNumberFormat="1" applyFont="1" applyBorder="1" applyAlignment="1">
      <alignment horizontal="right" vertical="center"/>
    </xf>
    <xf numFmtId="41" fontId="10" fillId="0" borderId="159" xfId="1" applyNumberFormat="1" applyFont="1" applyBorder="1" applyAlignment="1">
      <alignment horizontal="center" vertical="center"/>
    </xf>
    <xf numFmtId="0" fontId="11" fillId="0" borderId="160" xfId="0" applyNumberFormat="1" applyFont="1" applyBorder="1" applyAlignment="1">
      <alignment horizontal="center" vertical="center"/>
    </xf>
    <xf numFmtId="0" fontId="4" fillId="0" borderId="161" xfId="0" applyNumberFormat="1" applyFont="1" applyBorder="1" applyAlignment="1">
      <alignment horizontal="center" vertical="center"/>
    </xf>
    <xf numFmtId="41" fontId="5" fillId="0" borderId="148" xfId="0" applyNumberFormat="1" applyFont="1" applyBorder="1" applyAlignment="1">
      <alignment horizontal="center" vertical="center" wrapText="1"/>
    </xf>
    <xf numFmtId="41" fontId="5" fillId="0" borderId="149" xfId="0" applyNumberFormat="1" applyFont="1" applyBorder="1" applyAlignment="1">
      <alignment horizontal="center" vertical="center" wrapText="1"/>
    </xf>
    <xf numFmtId="0" fontId="5" fillId="0" borderId="162" xfId="0" applyNumberFormat="1" applyFont="1" applyBorder="1" applyAlignment="1">
      <alignment horizontal="center" vertical="center"/>
    </xf>
    <xf numFmtId="0" fontId="5" fillId="0" borderId="163" xfId="0" applyNumberFormat="1" applyFont="1" applyBorder="1" applyAlignment="1">
      <alignment horizontal="center" vertical="center"/>
    </xf>
    <xf numFmtId="41" fontId="10" fillId="0" borderId="164" xfId="1" applyNumberFormat="1" applyFont="1" applyBorder="1" applyAlignment="1">
      <alignment horizontal="center" vertical="center"/>
    </xf>
    <xf numFmtId="0" fontId="4" fillId="0" borderId="160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41" fontId="5" fillId="0" borderId="165" xfId="0" applyNumberFormat="1" applyFont="1" applyBorder="1" applyAlignment="1">
      <alignment horizontal="center" vertical="center" wrapText="1"/>
    </xf>
    <xf numFmtId="41" fontId="5" fillId="0" borderId="166" xfId="0" applyNumberFormat="1" applyFont="1" applyBorder="1" applyAlignment="1">
      <alignment horizontal="center" vertical="center" wrapText="1"/>
    </xf>
    <xf numFmtId="0" fontId="5" fillId="0" borderId="167" xfId="0" applyNumberFormat="1" applyFont="1" applyBorder="1" applyAlignment="1">
      <alignment horizontal="center" vertical="center"/>
    </xf>
    <xf numFmtId="0" fontId="5" fillId="0" borderId="148" xfId="0" applyNumberFormat="1" applyFont="1" applyBorder="1" applyAlignment="1">
      <alignment horizontal="center" vertical="center" wrapText="1"/>
    </xf>
    <xf numFmtId="0" fontId="5" fillId="0" borderId="149" xfId="0" applyNumberFormat="1" applyFont="1" applyBorder="1" applyAlignment="1">
      <alignment horizontal="center" vertical="center" wrapText="1"/>
    </xf>
    <xf numFmtId="0" fontId="22" fillId="0" borderId="138" xfId="0" applyNumberFormat="1" applyFont="1" applyBorder="1" applyAlignment="1">
      <alignment horizontal="center" vertical="center" shrinkToFit="1"/>
    </xf>
    <xf numFmtId="0" fontId="22" fillId="0" borderId="21" xfId="0" applyNumberFormat="1" applyFont="1" applyBorder="1" applyAlignment="1">
      <alignment horizontal="center" vertical="center" shrinkToFit="1"/>
    </xf>
    <xf numFmtId="0" fontId="22" fillId="0" borderId="156" xfId="0" applyNumberFormat="1" applyFont="1" applyBorder="1" applyAlignment="1">
      <alignment horizontal="center" vertical="center"/>
    </xf>
    <xf numFmtId="0" fontId="22" fillId="0" borderId="21" xfId="0" applyNumberFormat="1" applyFont="1" applyBorder="1" applyAlignment="1">
      <alignment horizontal="center" vertical="center"/>
    </xf>
    <xf numFmtId="0" fontId="5" fillId="0" borderId="157" xfId="0" applyNumberFormat="1" applyFont="1" applyBorder="1" applyAlignment="1">
      <alignment horizontal="center" vertical="center" wrapText="1"/>
    </xf>
    <xf numFmtId="0" fontId="5" fillId="0" borderId="158" xfId="0" applyNumberFormat="1" applyFont="1" applyBorder="1" applyAlignment="1">
      <alignment horizontal="center" vertical="center" wrapText="1"/>
    </xf>
    <xf numFmtId="41" fontId="5" fillId="0" borderId="148" xfId="1" applyNumberFormat="1" applyFont="1" applyBorder="1" applyAlignment="1">
      <alignment horizontal="center" vertical="center" wrapText="1"/>
    </xf>
    <xf numFmtId="41" fontId="5" fillId="0" borderId="149" xfId="1" applyNumberFormat="1" applyFont="1" applyBorder="1" applyAlignment="1">
      <alignment horizontal="center" vertical="center" wrapText="1"/>
    </xf>
    <xf numFmtId="3" fontId="6" fillId="0" borderId="17" xfId="1" applyNumberFormat="1" applyFont="1" applyBorder="1" applyAlignment="1">
      <alignment horizontal="left" vertical="center" wrapText="1" shrinkToFit="1"/>
    </xf>
    <xf numFmtId="0" fontId="33" fillId="0" borderId="17" xfId="0" applyNumberFormat="1" applyFont="1" applyBorder="1" applyAlignment="1">
      <alignment horizontal="left" vertical="center" shrinkToFit="1"/>
    </xf>
    <xf numFmtId="0" fontId="33" fillId="0" borderId="38" xfId="0" applyNumberFormat="1" applyFont="1" applyBorder="1" applyAlignment="1">
      <alignment horizontal="left" vertical="center" shrinkToFit="1"/>
    </xf>
    <xf numFmtId="3" fontId="6" fillId="6" borderId="17" xfId="1" applyNumberFormat="1" applyFont="1" applyFill="1" applyBorder="1" applyAlignment="1">
      <alignment vertical="center" shrinkToFit="1"/>
    </xf>
    <xf numFmtId="0" fontId="6" fillId="6" borderId="17" xfId="0" applyNumberFormat="1" applyFont="1" applyFill="1" applyBorder="1" applyAlignment="1">
      <alignment vertical="center" shrinkToFit="1"/>
    </xf>
    <xf numFmtId="0" fontId="6" fillId="6" borderId="38" xfId="0" applyNumberFormat="1" applyFont="1" applyFill="1" applyBorder="1" applyAlignment="1">
      <alignment vertical="center" shrinkToFit="1"/>
    </xf>
    <xf numFmtId="41" fontId="19" fillId="0" borderId="0" xfId="1" applyNumberFormat="1" applyFont="1" applyBorder="1" applyAlignment="1">
      <alignment horizontal="center" vertical="center" wrapText="1"/>
    </xf>
    <xf numFmtId="0" fontId="5" fillId="0" borderId="150" xfId="0" applyNumberFormat="1" applyFont="1" applyBorder="1" applyAlignment="1">
      <alignment horizontal="center" vertical="center" shrinkToFit="1"/>
    </xf>
    <xf numFmtId="0" fontId="5" fillId="0" borderId="79" xfId="0" applyNumberFormat="1" applyFont="1" applyBorder="1" applyAlignment="1">
      <alignment horizontal="center" vertical="center" shrinkToFit="1"/>
    </xf>
    <xf numFmtId="0" fontId="5" fillId="0" borderId="9" xfId="0" applyNumberFormat="1" applyFont="1" applyBorder="1" applyAlignment="1">
      <alignment horizontal="center" vertical="center" shrinkToFit="1"/>
    </xf>
    <xf numFmtId="0" fontId="5" fillId="0" borderId="13" xfId="0" applyNumberFormat="1" applyFont="1" applyBorder="1" applyAlignment="1">
      <alignment horizontal="center" vertical="center"/>
    </xf>
    <xf numFmtId="0" fontId="5" fillId="0" borderId="151" xfId="0" applyNumberFormat="1" applyFont="1" applyBorder="1" applyAlignment="1">
      <alignment horizontal="center" vertical="center"/>
    </xf>
    <xf numFmtId="0" fontId="4" fillId="0" borderId="144" xfId="0" applyNumberFormat="1" applyFont="1" applyBorder="1" applyAlignment="1">
      <alignment horizontal="center" vertical="center"/>
    </xf>
    <xf numFmtId="0" fontId="4" fillId="0" borderId="152" xfId="0" applyNumberFormat="1" applyFont="1" applyBorder="1" applyAlignment="1">
      <alignment horizontal="center" vertical="center"/>
    </xf>
    <xf numFmtId="0" fontId="4" fillId="0" borderId="153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54" xfId="0" applyNumberFormat="1" applyFont="1" applyBorder="1" applyAlignment="1">
      <alignment horizontal="center" vertical="center"/>
    </xf>
    <xf numFmtId="3" fontId="6" fillId="0" borderId="79" xfId="1" applyNumberFormat="1" applyFont="1" applyBorder="1" applyAlignment="1">
      <alignment horizontal="center" vertical="center" shrinkToFit="1"/>
    </xf>
    <xf numFmtId="0" fontId="6" fillId="0" borderId="79" xfId="0" applyNumberFormat="1" applyFont="1" applyBorder="1" applyAlignment="1">
      <alignment vertical="center" shrinkToFit="1"/>
    </xf>
    <xf numFmtId="0" fontId="6" fillId="0" borderId="155" xfId="0" applyNumberFormat="1" applyFont="1" applyBorder="1" applyAlignment="1">
      <alignment vertical="center" shrinkToFit="1"/>
    </xf>
    <xf numFmtId="3" fontId="6" fillId="7" borderId="73" xfId="1" applyNumberFormat="1" applyFont="1" applyFill="1" applyBorder="1" applyAlignment="1">
      <alignment horizontal="center" vertical="center" shrinkToFit="1"/>
    </xf>
    <xf numFmtId="3" fontId="6" fillId="7" borderId="25" xfId="1" applyNumberFormat="1" applyFont="1" applyFill="1" applyBorder="1" applyAlignment="1">
      <alignment horizontal="center" vertical="center" shrinkToFit="1"/>
    </xf>
    <xf numFmtId="3" fontId="6" fillId="7" borderId="49" xfId="1" applyNumberFormat="1" applyFont="1" applyFill="1" applyBorder="1" applyAlignment="1">
      <alignment horizontal="center" vertical="center" shrinkToFit="1"/>
    </xf>
    <xf numFmtId="0" fontId="6" fillId="0" borderId="73" xfId="0" applyNumberFormat="1" applyFont="1" applyBorder="1" applyAlignment="1">
      <alignment vertical="center" shrinkToFit="1"/>
    </xf>
    <xf numFmtId="0" fontId="6" fillId="0" borderId="25" xfId="0" applyNumberFormat="1" applyFont="1" applyBorder="1" applyAlignment="1">
      <alignment vertical="center" shrinkToFit="1"/>
    </xf>
    <xf numFmtId="0" fontId="6" fillId="0" borderId="49" xfId="0" applyNumberFormat="1" applyFont="1" applyBorder="1" applyAlignment="1">
      <alignment vertical="center" shrinkToFit="1"/>
    </xf>
    <xf numFmtId="3" fontId="6" fillId="6" borderId="73" xfId="1" applyNumberFormat="1" applyFont="1" applyFill="1" applyBorder="1" applyAlignment="1">
      <alignment vertical="center" shrinkToFit="1"/>
    </xf>
    <xf numFmtId="0" fontId="6" fillId="6" borderId="25" xfId="0" applyNumberFormat="1" applyFont="1" applyFill="1" applyBorder="1" applyAlignment="1">
      <alignment vertical="center" shrinkToFit="1"/>
    </xf>
    <xf numFmtId="0" fontId="6" fillId="6" borderId="49" xfId="0" applyNumberFormat="1" applyFont="1" applyFill="1" applyBorder="1" applyAlignment="1">
      <alignment vertical="center" shrinkToFit="1"/>
    </xf>
    <xf numFmtId="3" fontId="6" fillId="7" borderId="73" xfId="1" applyNumberFormat="1" applyFont="1" applyFill="1" applyBorder="1" applyAlignment="1">
      <alignment vertical="center" shrinkToFit="1"/>
    </xf>
    <xf numFmtId="0" fontId="6" fillId="7" borderId="25" xfId="0" applyNumberFormat="1" applyFont="1" applyFill="1" applyBorder="1" applyAlignment="1">
      <alignment vertical="center" shrinkToFit="1"/>
    </xf>
    <xf numFmtId="0" fontId="6" fillId="7" borderId="49" xfId="0" applyNumberFormat="1" applyFont="1" applyFill="1" applyBorder="1" applyAlignment="1">
      <alignment vertical="center" shrinkToFit="1"/>
    </xf>
    <xf numFmtId="3" fontId="6" fillId="6" borderId="81" xfId="1" applyNumberFormat="1" applyFont="1" applyFill="1" applyBorder="1" applyAlignment="1">
      <alignment horizontal="center" vertical="center" shrinkToFit="1"/>
    </xf>
    <xf numFmtId="3" fontId="6" fillId="6" borderId="65" xfId="1" applyNumberFormat="1" applyFont="1" applyFill="1" applyBorder="1" applyAlignment="1">
      <alignment horizontal="center" vertical="center" shrinkToFit="1"/>
    </xf>
    <xf numFmtId="3" fontId="6" fillId="6" borderId="70" xfId="1" applyNumberFormat="1" applyFont="1" applyFill="1" applyBorder="1" applyAlignment="1">
      <alignment horizontal="center" vertical="center" shrinkToFit="1"/>
    </xf>
    <xf numFmtId="41" fontId="5" fillId="0" borderId="148" xfId="0" applyNumberFormat="1" applyFont="1" applyBorder="1" applyAlignment="1">
      <alignment horizontal="center" vertical="center" wrapText="1" shrinkToFit="1"/>
    </xf>
    <xf numFmtId="41" fontId="5" fillId="0" borderId="149" xfId="0" applyNumberFormat="1" applyFont="1" applyBorder="1" applyAlignment="1">
      <alignment horizontal="center" vertical="center" shrinkToFit="1"/>
    </xf>
    <xf numFmtId="3" fontId="6" fillId="7" borderId="17" xfId="1" applyNumberFormat="1" applyFont="1" applyFill="1" applyBorder="1" applyAlignment="1">
      <alignment vertical="center" shrinkToFit="1"/>
    </xf>
    <xf numFmtId="0" fontId="6" fillId="7" borderId="17" xfId="0" applyNumberFormat="1" applyFont="1" applyFill="1" applyBorder="1" applyAlignment="1">
      <alignment vertical="center" shrinkToFit="1"/>
    </xf>
    <xf numFmtId="0" fontId="6" fillId="7" borderId="38" xfId="0" applyNumberFormat="1" applyFont="1" applyFill="1" applyBorder="1" applyAlignment="1">
      <alignment vertical="center" shrinkToFit="1"/>
    </xf>
    <xf numFmtId="3" fontId="6" fillId="0" borderId="17" xfId="1" applyNumberFormat="1" applyFont="1" applyFill="1" applyBorder="1" applyAlignment="1">
      <alignment vertical="center" shrinkToFit="1"/>
    </xf>
    <xf numFmtId="0" fontId="6" fillId="0" borderId="17" xfId="0" applyNumberFormat="1" applyFont="1" applyFill="1" applyBorder="1" applyAlignment="1">
      <alignment vertical="center" shrinkToFit="1"/>
    </xf>
    <xf numFmtId="0" fontId="6" fillId="0" borderId="38" xfId="0" applyNumberFormat="1" applyFont="1" applyFill="1" applyBorder="1" applyAlignment="1">
      <alignment vertical="center" shrinkToFit="1"/>
    </xf>
    <xf numFmtId="3" fontId="6" fillId="0" borderId="73" xfId="1" applyNumberFormat="1" applyFont="1" applyFill="1" applyBorder="1" applyAlignment="1">
      <alignment vertical="center" shrinkToFit="1"/>
    </xf>
    <xf numFmtId="0" fontId="6" fillId="0" borderId="25" xfId="0" applyNumberFormat="1" applyFont="1" applyFill="1" applyBorder="1" applyAlignment="1">
      <alignment vertical="center" shrinkToFit="1"/>
    </xf>
    <xf numFmtId="0" fontId="6" fillId="0" borderId="49" xfId="0" applyNumberFormat="1" applyFont="1" applyFill="1" applyBorder="1" applyAlignment="1">
      <alignment vertical="center" shrinkToFit="1"/>
    </xf>
    <xf numFmtId="0" fontId="6" fillId="0" borderId="73" xfId="0" applyNumberFormat="1" applyFont="1" applyBorder="1" applyAlignment="1">
      <alignment horizontal="left" vertical="center" wrapText="1" shrinkToFit="1"/>
    </xf>
    <xf numFmtId="0" fontId="33" fillId="0" borderId="25" xfId="0" applyNumberFormat="1" applyFont="1" applyBorder="1" applyAlignment="1">
      <alignment horizontal="left" vertical="center" shrinkToFit="1"/>
    </xf>
    <xf numFmtId="0" fontId="33" fillId="0" borderId="49" xfId="0" applyNumberFormat="1" applyFont="1" applyBorder="1" applyAlignment="1">
      <alignment horizontal="left" vertical="center" shrinkToFit="1"/>
    </xf>
    <xf numFmtId="3" fontId="6" fillId="0" borderId="73" xfId="1" applyNumberFormat="1" applyFont="1" applyBorder="1" applyAlignment="1">
      <alignment vertical="center" shrinkToFit="1"/>
    </xf>
    <xf numFmtId="3" fontId="6" fillId="0" borderId="25" xfId="1" applyNumberFormat="1" applyFont="1" applyBorder="1" applyAlignment="1">
      <alignment vertical="center" shrinkToFit="1"/>
    </xf>
    <xf numFmtId="3" fontId="6" fillId="0" borderId="49" xfId="1" applyNumberFormat="1" applyFont="1" applyBorder="1" applyAlignment="1">
      <alignment vertical="center" shrinkToFit="1"/>
    </xf>
    <xf numFmtId="0" fontId="6" fillId="0" borderId="73" xfId="0" applyNumberFormat="1" applyFont="1" applyBorder="1" applyAlignment="1">
      <alignment vertical="center"/>
    </xf>
    <xf numFmtId="0" fontId="6" fillId="0" borderId="25" xfId="0" applyNumberFormat="1" applyFont="1" applyBorder="1" applyAlignment="1">
      <alignment vertical="center"/>
    </xf>
    <xf numFmtId="0" fontId="6" fillId="0" borderId="49" xfId="0" applyNumberFormat="1" applyFont="1" applyBorder="1" applyAlignment="1">
      <alignment vertical="center"/>
    </xf>
    <xf numFmtId="0" fontId="6" fillId="0" borderId="146" xfId="0" applyNumberFormat="1" applyFont="1" applyBorder="1" applyAlignment="1">
      <alignment vertical="center"/>
    </xf>
    <xf numFmtId="0" fontId="6" fillId="0" borderId="15" xfId="0" applyNumberFormat="1" applyFont="1" applyBorder="1" applyAlignment="1">
      <alignment vertical="center"/>
    </xf>
    <xf numFmtId="0" fontId="6" fillId="0" borderId="147" xfId="0" applyNumberFormat="1" applyFont="1" applyBorder="1" applyAlignment="1">
      <alignment vertical="center"/>
    </xf>
    <xf numFmtId="0" fontId="6" fillId="6" borderId="73" xfId="0" applyNumberFormat="1" applyFont="1" applyFill="1" applyBorder="1" applyAlignment="1">
      <alignment vertical="center"/>
    </xf>
    <xf numFmtId="0" fontId="6" fillId="6" borderId="25" xfId="0" applyNumberFormat="1" applyFont="1" applyFill="1" applyBorder="1" applyAlignment="1">
      <alignment vertical="center"/>
    </xf>
    <xf numFmtId="0" fontId="6" fillId="6" borderId="49" xfId="0" applyNumberFormat="1" applyFont="1" applyFill="1" applyBorder="1" applyAlignment="1">
      <alignment vertical="center"/>
    </xf>
    <xf numFmtId="0" fontId="6" fillId="7" borderId="73" xfId="0" applyNumberFormat="1" applyFont="1" applyFill="1" applyBorder="1" applyAlignment="1">
      <alignment vertical="center"/>
    </xf>
    <xf numFmtId="0" fontId="6" fillId="7" borderId="25" xfId="0" applyNumberFormat="1" applyFont="1" applyFill="1" applyBorder="1" applyAlignment="1">
      <alignment vertical="center"/>
    </xf>
    <xf numFmtId="0" fontId="6" fillId="7" borderId="49" xfId="0" applyNumberFormat="1" applyFont="1" applyFill="1" applyBorder="1" applyAlignment="1">
      <alignment vertical="center"/>
    </xf>
    <xf numFmtId="3" fontId="6" fillId="0" borderId="73" xfId="1" quotePrefix="1" applyNumberFormat="1" applyFont="1" applyBorder="1" applyAlignment="1">
      <alignment horizontal="left" vertical="center" shrinkToFit="1"/>
    </xf>
    <xf numFmtId="3" fontId="6" fillId="0" borderId="25" xfId="1" quotePrefix="1" applyNumberFormat="1" applyFont="1" applyBorder="1" applyAlignment="1">
      <alignment horizontal="left" vertical="center" shrinkToFit="1"/>
    </xf>
    <xf numFmtId="0" fontId="6" fillId="0" borderId="82" xfId="0" applyNumberFormat="1" applyFont="1" applyBorder="1" applyAlignment="1">
      <alignment vertical="center"/>
    </xf>
    <xf numFmtId="0" fontId="6" fillId="0" borderId="31" xfId="0" applyNumberFormat="1" applyFont="1" applyBorder="1" applyAlignment="1">
      <alignment vertical="center"/>
    </xf>
    <xf numFmtId="0" fontId="6" fillId="0" borderId="143" xfId="0" applyNumberFormat="1" applyFont="1" applyBorder="1" applyAlignment="1">
      <alignment vertical="center"/>
    </xf>
    <xf numFmtId="0" fontId="5" fillId="8" borderId="83" xfId="0" applyNumberFormat="1" applyFont="1" applyFill="1" applyBorder="1" applyAlignment="1">
      <alignment horizontal="center" vertical="center"/>
    </xf>
    <xf numFmtId="0" fontId="5" fillId="8" borderId="19" xfId="0" applyNumberFormat="1" applyFont="1" applyFill="1" applyBorder="1" applyAlignment="1">
      <alignment horizontal="center" vertical="center"/>
    </xf>
    <xf numFmtId="0" fontId="5" fillId="9" borderId="134" xfId="0" applyNumberFormat="1" applyFont="1" applyFill="1" applyBorder="1" applyAlignment="1">
      <alignment horizontal="center" vertical="center" shrinkToFit="1"/>
    </xf>
    <xf numFmtId="0" fontId="5" fillId="9" borderId="74" xfId="0" applyNumberFormat="1" applyFont="1" applyFill="1" applyBorder="1" applyAlignment="1">
      <alignment horizontal="center" vertical="center" shrinkToFit="1"/>
    </xf>
    <xf numFmtId="0" fontId="5" fillId="9" borderId="135" xfId="0" applyNumberFormat="1" applyFont="1" applyFill="1" applyBorder="1" applyAlignment="1">
      <alignment horizontal="center" vertical="center" shrinkToFit="1"/>
    </xf>
    <xf numFmtId="0" fontId="5" fillId="9" borderId="0" xfId="0" applyNumberFormat="1" applyFont="1" applyFill="1" applyBorder="1" applyAlignment="1">
      <alignment horizontal="center" vertical="center" shrinkToFit="1"/>
    </xf>
    <xf numFmtId="0" fontId="5" fillId="9" borderId="84" xfId="0" applyNumberFormat="1" applyFont="1" applyFill="1" applyBorder="1" applyAlignment="1">
      <alignment horizontal="center" vertical="center" shrinkToFit="1"/>
    </xf>
    <xf numFmtId="0" fontId="5" fillId="9" borderId="52" xfId="0" applyNumberFormat="1" applyFont="1" applyFill="1" applyBorder="1" applyAlignment="1">
      <alignment horizontal="center" vertical="center" shrinkToFit="1"/>
    </xf>
    <xf numFmtId="0" fontId="6" fillId="5" borderId="135" xfId="0" applyNumberFormat="1" applyFont="1" applyFill="1" applyBorder="1" applyAlignment="1">
      <alignment horizontal="left" vertical="center"/>
    </xf>
    <xf numFmtId="0" fontId="6" fillId="5" borderId="0" xfId="0" applyNumberFormat="1" applyFont="1" applyFill="1" applyBorder="1" applyAlignment="1">
      <alignment horizontal="left" vertical="center"/>
    </xf>
    <xf numFmtId="0" fontId="6" fillId="5" borderId="84" xfId="0" applyNumberFormat="1" applyFont="1" applyFill="1" applyBorder="1" applyAlignment="1">
      <alignment horizontal="left" vertical="center" shrinkToFit="1"/>
    </xf>
    <xf numFmtId="0" fontId="6" fillId="5" borderId="52" xfId="0" applyNumberFormat="1" applyFont="1" applyFill="1" applyBorder="1" applyAlignment="1">
      <alignment horizontal="left" vertical="center" shrinkToFit="1"/>
    </xf>
    <xf numFmtId="0" fontId="6" fillId="5" borderId="84" xfId="0" applyNumberFormat="1" applyFont="1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left" vertical="center"/>
    </xf>
    <xf numFmtId="0" fontId="5" fillId="8" borderId="139" xfId="0" applyNumberFormat="1" applyFont="1" applyFill="1" applyBorder="1" applyAlignment="1">
      <alignment horizontal="left" vertical="center"/>
    </xf>
    <xf numFmtId="0" fontId="5" fillId="8" borderId="31" xfId="0" applyNumberFormat="1" applyFont="1" applyFill="1" applyBorder="1" applyAlignment="1">
      <alignment horizontal="left" vertical="center"/>
    </xf>
    <xf numFmtId="41" fontId="5" fillId="9" borderId="0" xfId="1" applyNumberFormat="1" applyFont="1" applyFill="1" applyBorder="1" applyAlignment="1">
      <alignment horizontal="center" vertical="center" shrinkToFit="1"/>
    </xf>
    <xf numFmtId="0" fontId="6" fillId="5" borderId="84" xfId="0" applyNumberFormat="1" applyFont="1" applyFill="1" applyBorder="1" applyAlignment="1">
      <alignment horizontal="center" vertical="center"/>
    </xf>
    <xf numFmtId="0" fontId="6" fillId="5" borderId="52" xfId="0" applyNumberFormat="1" applyFont="1" applyFill="1" applyBorder="1" applyAlignment="1">
      <alignment horizontal="center" vertical="center"/>
    </xf>
    <xf numFmtId="41" fontId="6" fillId="5" borderId="25" xfId="1" applyNumberFormat="1" applyFont="1" applyFill="1" applyBorder="1" applyAlignment="1">
      <alignment horizontal="center" vertical="center"/>
    </xf>
    <xf numFmtId="41" fontId="6" fillId="5" borderId="25" xfId="1" applyNumberFormat="1" applyFont="1" applyFill="1" applyBorder="1" applyAlignment="1" applyProtection="1">
      <alignment horizontal="left" vertical="center"/>
    </xf>
    <xf numFmtId="0" fontId="6" fillId="5" borderId="133" xfId="0" applyNumberFormat="1" applyFont="1" applyFill="1" applyBorder="1" applyAlignment="1" applyProtection="1">
      <alignment horizontal="left" vertical="center"/>
    </xf>
    <xf numFmtId="0" fontId="6" fillId="5" borderId="26" xfId="0" applyNumberFormat="1" applyFont="1" applyFill="1" applyBorder="1" applyAlignment="1" applyProtection="1">
      <alignment horizontal="center" vertical="center"/>
    </xf>
    <xf numFmtId="0" fontId="6" fillId="5" borderId="25" xfId="1" applyNumberFormat="1" applyFont="1" applyFill="1" applyBorder="1" applyAlignment="1" applyProtection="1">
      <alignment horizontal="center" vertical="center"/>
    </xf>
    <xf numFmtId="0" fontId="18" fillId="0" borderId="138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  <xf numFmtId="178" fontId="18" fillId="0" borderId="150" xfId="1" applyNumberFormat="1" applyFont="1" applyBorder="1" applyAlignment="1">
      <alignment horizontal="right" vertical="center"/>
    </xf>
    <xf numFmtId="178" fontId="19" fillId="0" borderId="79" xfId="0" applyNumberFormat="1" applyFont="1" applyBorder="1" applyAlignment="1">
      <alignment vertical="center"/>
    </xf>
    <xf numFmtId="178" fontId="19" fillId="0" borderId="155" xfId="0" applyNumberFormat="1" applyFont="1" applyBorder="1" applyAlignment="1">
      <alignment vertical="center"/>
    </xf>
    <xf numFmtId="41" fontId="19" fillId="0" borderId="0" xfId="1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6" fillId="0" borderId="167" xfId="0" applyNumberFormat="1" applyFont="1" applyBorder="1" applyAlignment="1">
      <alignment horizontal="center" vertical="center"/>
    </xf>
    <xf numFmtId="0" fontId="6" fillId="0" borderId="163" xfId="0" applyNumberFormat="1" applyFont="1" applyBorder="1" applyAlignment="1">
      <alignment horizontal="center" vertical="center"/>
    </xf>
    <xf numFmtId="41" fontId="6" fillId="0" borderId="148" xfId="0" applyNumberFormat="1" applyFont="1" applyBorder="1" applyAlignment="1">
      <alignment horizontal="center" vertical="center" wrapText="1"/>
    </xf>
    <xf numFmtId="41" fontId="6" fillId="0" borderId="149" xfId="0" applyNumberFormat="1" applyFont="1" applyBorder="1" applyAlignment="1">
      <alignment horizontal="center" vertical="center"/>
    </xf>
    <xf numFmtId="41" fontId="6" fillId="0" borderId="151" xfId="0" applyNumberFormat="1" applyFont="1" applyBorder="1" applyAlignment="1">
      <alignment horizontal="center" vertical="center" wrapText="1" shrinkToFit="1"/>
    </xf>
    <xf numFmtId="41" fontId="6" fillId="0" borderId="153" xfId="0" applyNumberFormat="1" applyFont="1" applyBorder="1" applyAlignment="1">
      <alignment horizontal="center" vertical="center" shrinkToFit="1"/>
    </xf>
    <xf numFmtId="0" fontId="6" fillId="0" borderId="183" xfId="0" applyNumberFormat="1" applyFont="1" applyBorder="1" applyAlignment="1">
      <alignment horizontal="center" vertical="center"/>
    </xf>
    <xf numFmtId="0" fontId="4" fillId="0" borderId="144" xfId="0" applyNumberFormat="1" applyFont="1" applyBorder="1" applyAlignment="1">
      <alignment vertical="center"/>
    </xf>
    <xf numFmtId="0" fontId="4" fillId="0" borderId="152" xfId="0" applyNumberFormat="1" applyFont="1" applyBorder="1" applyAlignment="1">
      <alignment vertical="center"/>
    </xf>
    <xf numFmtId="0" fontId="4" fillId="0" borderId="184" xfId="0" applyNumberFormat="1" applyFont="1" applyBorder="1" applyAlignment="1">
      <alignment vertical="center"/>
    </xf>
    <xf numFmtId="0" fontId="4" fillId="0" borderId="12" xfId="0" applyNumberFormat="1" applyFont="1" applyBorder="1" applyAlignment="1">
      <alignment vertical="center"/>
    </xf>
    <xf numFmtId="0" fontId="4" fillId="0" borderId="154" xfId="0" applyNumberFormat="1" applyFont="1" applyBorder="1" applyAlignment="1">
      <alignment vertical="center"/>
    </xf>
    <xf numFmtId="0" fontId="6" fillId="0" borderId="185" xfId="0" applyNumberFormat="1" applyFont="1" applyBorder="1" applyAlignment="1">
      <alignment horizontal="center" vertical="center" wrapText="1"/>
    </xf>
    <xf numFmtId="0" fontId="6" fillId="0" borderId="131" xfId="0" applyNumberFormat="1" applyFont="1" applyBorder="1" applyAlignment="1">
      <alignment horizontal="center" vertical="center" wrapText="1"/>
    </xf>
    <xf numFmtId="0" fontId="6" fillId="0" borderId="186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/>
    </xf>
    <xf numFmtId="176" fontId="4" fillId="0" borderId="99" xfId="0" applyNumberFormat="1" applyFont="1" applyBorder="1" applyAlignment="1">
      <alignment horizontal="right" vertical="center"/>
    </xf>
    <xf numFmtId="176" fontId="9" fillId="0" borderId="168" xfId="0" applyNumberFormat="1" applyFont="1" applyBorder="1" applyAlignment="1">
      <alignment horizontal="center" vertical="center"/>
    </xf>
    <xf numFmtId="176" fontId="9" fillId="0" borderId="169" xfId="0" applyNumberFormat="1" applyFont="1" applyBorder="1" applyAlignment="1">
      <alignment horizontal="center" vertical="center"/>
    </xf>
    <xf numFmtId="176" fontId="9" fillId="0" borderId="170" xfId="0" applyNumberFormat="1" applyFont="1" applyBorder="1" applyAlignment="1">
      <alignment horizontal="center" vertical="center"/>
    </xf>
    <xf numFmtId="176" fontId="19" fillId="0" borderId="171" xfId="0" applyNumberFormat="1" applyFont="1" applyBorder="1" applyAlignment="1">
      <alignment horizontal="center" vertical="center"/>
    </xf>
    <xf numFmtId="41" fontId="9" fillId="0" borderId="6" xfId="0" applyNumberFormat="1" applyFont="1" applyBorder="1" applyAlignment="1">
      <alignment horizontal="center" vertical="center"/>
    </xf>
    <xf numFmtId="41" fontId="9" fillId="0" borderId="155" xfId="0" applyNumberFormat="1" applyFont="1" applyBorder="1" applyAlignment="1">
      <alignment horizontal="center" vertical="center"/>
    </xf>
    <xf numFmtId="41" fontId="9" fillId="0" borderId="79" xfId="0" applyNumberFormat="1" applyFont="1" applyBorder="1" applyAlignment="1">
      <alignment horizontal="center" vertical="center"/>
    </xf>
    <xf numFmtId="41" fontId="19" fillId="0" borderId="64" xfId="0" applyNumberFormat="1" applyFont="1" applyBorder="1" applyAlignment="1">
      <alignment horizontal="center" vertical="center"/>
    </xf>
    <xf numFmtId="0" fontId="22" fillId="0" borderId="172" xfId="0" applyNumberFormat="1" applyFont="1" applyBorder="1" applyAlignment="1">
      <alignment horizontal="center" vertical="center" shrinkToFit="1"/>
    </xf>
    <xf numFmtId="0" fontId="22" fillId="0" borderId="12" xfId="0" applyNumberFormat="1" applyFont="1" applyBorder="1" applyAlignment="1">
      <alignment horizontal="center" vertical="center" shrinkToFit="1"/>
    </xf>
    <xf numFmtId="0" fontId="5" fillId="0" borderId="173" xfId="0" applyNumberFormat="1" applyFont="1" applyBorder="1" applyAlignment="1">
      <alignment horizontal="center" vertical="center"/>
    </xf>
    <xf numFmtId="41" fontId="10" fillId="0" borderId="174" xfId="4" applyNumberFormat="1" applyFont="1" applyBorder="1" applyAlignment="1">
      <alignment horizontal="center" vertical="center"/>
    </xf>
    <xf numFmtId="0" fontId="11" fillId="0" borderId="175" xfId="0" applyNumberFormat="1" applyFont="1" applyBorder="1" applyAlignment="1">
      <alignment horizontal="center" vertical="center"/>
    </xf>
    <xf numFmtId="41" fontId="10" fillId="0" borderId="176" xfId="4" applyNumberFormat="1" applyFont="1" applyBorder="1" applyAlignment="1">
      <alignment horizontal="center" vertical="center"/>
    </xf>
    <xf numFmtId="0" fontId="4" fillId="0" borderId="177" xfId="0" applyNumberFormat="1" applyFont="1" applyBorder="1" applyAlignment="1">
      <alignment horizontal="center" vertical="center"/>
    </xf>
    <xf numFmtId="0" fontId="5" fillId="0" borderId="178" xfId="0" applyNumberFormat="1" applyFont="1" applyBorder="1" applyAlignment="1">
      <alignment horizontal="center" vertical="center" wrapText="1"/>
    </xf>
    <xf numFmtId="0" fontId="5" fillId="0" borderId="179" xfId="0" applyNumberFormat="1" applyFont="1" applyBorder="1" applyAlignment="1">
      <alignment horizontal="center" vertical="center" wrapText="1"/>
    </xf>
    <xf numFmtId="0" fontId="6" fillId="0" borderId="148" xfId="0" applyNumberFormat="1" applyFont="1" applyBorder="1" applyAlignment="1">
      <alignment horizontal="center" vertical="center" wrapText="1"/>
    </xf>
    <xf numFmtId="0" fontId="6" fillId="0" borderId="149" xfId="0" applyNumberFormat="1" applyFont="1" applyBorder="1" applyAlignment="1">
      <alignment horizontal="center" vertical="center"/>
    </xf>
    <xf numFmtId="176" fontId="6" fillId="0" borderId="148" xfId="0" applyNumberFormat="1" applyFont="1" applyBorder="1" applyAlignment="1">
      <alignment horizontal="center" vertical="center" wrapText="1" shrinkToFit="1"/>
    </xf>
    <xf numFmtId="176" fontId="6" fillId="0" borderId="149" xfId="0" applyNumberFormat="1" applyFont="1" applyBorder="1" applyAlignment="1">
      <alignment horizontal="center" vertical="center" shrinkToFit="1"/>
    </xf>
    <xf numFmtId="41" fontId="10" fillId="0" borderId="0" xfId="4" applyNumberFormat="1" applyFont="1" applyBorder="1" applyAlignment="1">
      <alignment horizontal="center" vertical="center"/>
    </xf>
    <xf numFmtId="41" fontId="13" fillId="2" borderId="180" xfId="1" applyNumberFormat="1" applyFont="1" applyFill="1" applyBorder="1" applyAlignment="1">
      <alignment horizontal="center" vertical="center" wrapText="1"/>
    </xf>
    <xf numFmtId="41" fontId="13" fillId="2" borderId="16" xfId="1" applyNumberFormat="1" applyFont="1" applyFill="1" applyBorder="1" applyAlignment="1">
      <alignment horizontal="center" vertical="center" wrapText="1"/>
    </xf>
    <xf numFmtId="0" fontId="13" fillId="0" borderId="180" xfId="0" applyNumberFormat="1" applyFont="1" applyFill="1" applyBorder="1" applyAlignment="1">
      <alignment horizontal="center" vertical="center"/>
    </xf>
    <xf numFmtId="0" fontId="13" fillId="0" borderId="16" xfId="0" applyNumberFormat="1" applyFont="1" applyFill="1" applyBorder="1" applyAlignment="1">
      <alignment horizontal="center" vertical="center"/>
    </xf>
    <xf numFmtId="0" fontId="13" fillId="0" borderId="180" xfId="0" applyNumberFormat="1" applyFont="1" applyBorder="1" applyAlignment="1">
      <alignment horizontal="center" vertical="center" wrapText="1"/>
    </xf>
    <xf numFmtId="0" fontId="13" fillId="0" borderId="16" xfId="0" applyNumberFormat="1" applyFont="1" applyBorder="1" applyAlignment="1">
      <alignment horizontal="center" vertical="center"/>
    </xf>
    <xf numFmtId="41" fontId="13" fillId="3" borderId="180" xfId="1" applyNumberFormat="1" applyFont="1" applyFill="1" applyBorder="1" applyAlignment="1">
      <alignment horizontal="center" vertical="center"/>
    </xf>
    <xf numFmtId="41" fontId="13" fillId="3" borderId="16" xfId="1" applyNumberFormat="1" applyFont="1" applyFill="1" applyBorder="1" applyAlignment="1">
      <alignment horizontal="center" vertical="center"/>
    </xf>
    <xf numFmtId="0" fontId="13" fillId="0" borderId="180" xfId="0" applyNumberFormat="1" applyFont="1" applyBorder="1" applyAlignment="1">
      <alignment horizontal="center" vertical="center"/>
    </xf>
    <xf numFmtId="42" fontId="13" fillId="2" borderId="180" xfId="2" applyNumberFormat="1" applyFont="1" applyFill="1" applyBorder="1" applyAlignment="1">
      <alignment horizontal="center" vertical="center"/>
    </xf>
    <xf numFmtId="42" fontId="13" fillId="2" borderId="16" xfId="2" applyNumberFormat="1" applyFont="1" applyFill="1" applyBorder="1" applyAlignment="1">
      <alignment horizontal="center" vertical="center"/>
    </xf>
    <xf numFmtId="49" fontId="13" fillId="0" borderId="180" xfId="0" applyNumberFormat="1" applyFont="1" applyFill="1" applyBorder="1" applyAlignment="1">
      <alignment horizontal="center" vertical="center"/>
    </xf>
    <xf numFmtId="49" fontId="13" fillId="0" borderId="16" xfId="0" applyNumberFormat="1" applyFont="1" applyFill="1" applyBorder="1" applyAlignment="1">
      <alignment horizontal="center" vertical="center"/>
    </xf>
    <xf numFmtId="42" fontId="16" fillId="0" borderId="0" xfId="2" applyNumberFormat="1" applyFont="1" applyFill="1" applyAlignment="1">
      <alignment horizontal="center" vertical="center"/>
    </xf>
    <xf numFmtId="41" fontId="13" fillId="2" borderId="180" xfId="1" applyNumberFormat="1" applyFont="1" applyFill="1" applyBorder="1" applyAlignment="1">
      <alignment horizontal="center" vertical="center"/>
    </xf>
    <xf numFmtId="41" fontId="13" fillId="2" borderId="16" xfId="1" applyNumberFormat="1" applyFont="1" applyFill="1" applyBorder="1" applyAlignment="1">
      <alignment horizontal="center" vertical="center"/>
    </xf>
    <xf numFmtId="41" fontId="13" fillId="2" borderId="159" xfId="1" applyNumberFormat="1" applyFont="1" applyFill="1" applyBorder="1" applyAlignment="1">
      <alignment horizontal="center" vertical="center"/>
    </xf>
    <xf numFmtId="41" fontId="13" fillId="2" borderId="160" xfId="1" applyNumberFormat="1" applyFont="1" applyFill="1" applyBorder="1" applyAlignment="1">
      <alignment horizontal="center" vertical="center"/>
    </xf>
    <xf numFmtId="41" fontId="13" fillId="2" borderId="14" xfId="1" applyNumberFormat="1" applyFont="1" applyFill="1" applyBorder="1" applyAlignment="1">
      <alignment horizontal="center" vertical="center"/>
    </xf>
    <xf numFmtId="0" fontId="13" fillId="0" borderId="180" xfId="0" applyNumberFormat="1" applyFont="1" applyFill="1" applyBorder="1" applyAlignment="1">
      <alignment horizontal="center" vertical="center" wrapText="1"/>
    </xf>
    <xf numFmtId="42" fontId="14" fillId="0" borderId="0" xfId="2" applyNumberFormat="1" applyFont="1" applyFill="1" applyAlignment="1">
      <alignment horizontal="left" vertical="center"/>
    </xf>
    <xf numFmtId="42" fontId="13" fillId="3" borderId="159" xfId="2" applyNumberFormat="1" applyFont="1" applyFill="1" applyBorder="1" applyAlignment="1">
      <alignment horizontal="center" vertical="center"/>
    </xf>
    <xf numFmtId="42" fontId="13" fillId="3" borderId="160" xfId="2" applyNumberFormat="1" applyFont="1" applyFill="1" applyBorder="1" applyAlignment="1">
      <alignment horizontal="center" vertical="center"/>
    </xf>
    <xf numFmtId="49" fontId="37" fillId="0" borderId="0" xfId="5" applyNumberFormat="1" applyFont="1" applyBorder="1" applyAlignment="1">
      <alignment horizontal="center" vertical="center" wrapText="1"/>
    </xf>
    <xf numFmtId="49" fontId="27" fillId="0" borderId="0" xfId="5" applyNumberFormat="1" applyFont="1" applyAlignment="1">
      <alignment horizontal="right" wrapText="1"/>
    </xf>
    <xf numFmtId="0" fontId="13" fillId="0" borderId="15" xfId="5" applyNumberFormat="1" applyFont="1" applyBorder="1" applyAlignment="1">
      <alignment horizontal="right"/>
    </xf>
    <xf numFmtId="49" fontId="25" fillId="10" borderId="181" xfId="0" applyNumberFormat="1" applyFont="1" applyFill="1" applyBorder="1" applyAlignment="1">
      <alignment horizontal="center" vertical="center" wrapText="1"/>
    </xf>
    <xf numFmtId="49" fontId="25" fillId="10" borderId="182" xfId="0" applyNumberFormat="1" applyFont="1" applyFill="1" applyBorder="1" applyAlignment="1">
      <alignment horizontal="center" vertical="center" wrapText="1"/>
    </xf>
    <xf numFmtId="49" fontId="25" fillId="4" borderId="96" xfId="0" applyNumberFormat="1" applyFont="1" applyFill="1" applyBorder="1" applyAlignment="1">
      <alignment horizontal="center" vertical="center" wrapText="1"/>
    </xf>
    <xf numFmtId="49" fontId="25" fillId="4" borderId="97" xfId="0" applyNumberFormat="1" applyFont="1" applyFill="1" applyBorder="1" applyAlignment="1">
      <alignment horizontal="center" vertical="center" wrapText="1"/>
    </xf>
    <xf numFmtId="49" fontId="25" fillId="4" borderId="98" xfId="0" applyNumberFormat="1" applyFont="1" applyFill="1" applyBorder="1" applyAlignment="1">
      <alignment horizontal="center" vertical="center" wrapText="1"/>
    </xf>
    <xf numFmtId="0" fontId="37" fillId="0" borderId="0" xfId="6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42" fontId="37" fillId="0" borderId="0" xfId="2" applyNumberFormat="1" applyFont="1" applyFill="1" applyAlignment="1">
      <alignment horizontal="center" vertical="center"/>
    </xf>
    <xf numFmtId="0" fontId="16" fillId="0" borderId="0" xfId="0" applyNumberFormat="1" applyFont="1" applyAlignment="1">
      <alignment horizontal="left" vertical="center"/>
    </xf>
    <xf numFmtId="0" fontId="31" fillId="11" borderId="96" xfId="0" applyNumberFormat="1" applyFont="1" applyFill="1" applyBorder="1" applyAlignment="1">
      <alignment horizontal="center" vertical="center"/>
    </xf>
    <xf numFmtId="0" fontId="31" fillId="11" borderId="97" xfId="0" applyNumberFormat="1" applyFont="1" applyFill="1" applyBorder="1" applyAlignment="1">
      <alignment horizontal="center" vertical="center"/>
    </xf>
    <xf numFmtId="0" fontId="31" fillId="11" borderId="98" xfId="0" applyNumberFormat="1" applyFont="1" applyFill="1" applyBorder="1" applyAlignment="1">
      <alignment horizontal="center" vertical="center"/>
    </xf>
    <xf numFmtId="0" fontId="31" fillId="4" borderId="96" xfId="0" applyNumberFormat="1" applyFont="1" applyFill="1" applyBorder="1" applyAlignment="1">
      <alignment horizontal="center" vertical="center"/>
    </xf>
    <xf numFmtId="0" fontId="31" fillId="4" borderId="97" xfId="0" applyNumberFormat="1" applyFont="1" applyFill="1" applyBorder="1" applyAlignment="1">
      <alignment horizontal="center" vertical="center"/>
    </xf>
    <xf numFmtId="0" fontId="31" fillId="4" borderId="98" xfId="0" applyNumberFormat="1" applyFont="1" applyFill="1" applyBorder="1" applyAlignment="1">
      <alignment horizontal="center" vertical="center"/>
    </xf>
    <xf numFmtId="0" fontId="34" fillId="3" borderId="96" xfId="0" applyNumberFormat="1" applyFont="1" applyFill="1" applyBorder="1" applyAlignment="1">
      <alignment horizontal="center" vertical="center" wrapText="1"/>
    </xf>
    <xf numFmtId="0" fontId="34" fillId="3" borderId="97" xfId="0" applyNumberFormat="1" applyFont="1" applyFill="1" applyBorder="1" applyAlignment="1">
      <alignment horizontal="center" vertical="center" wrapText="1"/>
    </xf>
    <xf numFmtId="0" fontId="34" fillId="3" borderId="98" xfId="0" applyNumberFormat="1" applyFont="1" applyFill="1" applyBorder="1" applyAlignment="1">
      <alignment horizontal="center" vertical="center" wrapText="1"/>
    </xf>
    <xf numFmtId="0" fontId="36" fillId="4" borderId="96" xfId="0" applyNumberFormat="1" applyFont="1" applyFill="1" applyBorder="1" applyAlignment="1">
      <alignment horizontal="center" vertical="center" wrapText="1"/>
    </xf>
    <xf numFmtId="0" fontId="36" fillId="4" borderId="97" xfId="0" applyNumberFormat="1" applyFont="1" applyFill="1" applyBorder="1" applyAlignment="1">
      <alignment horizontal="center" vertical="center" wrapText="1"/>
    </xf>
    <xf numFmtId="0" fontId="36" fillId="4" borderId="98" xfId="0" applyNumberFormat="1" applyFont="1" applyFill="1" applyBorder="1" applyAlignment="1">
      <alignment horizontal="center" vertical="center" wrapText="1"/>
    </xf>
    <xf numFmtId="49" fontId="37" fillId="0" borderId="0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Alignment="1">
      <alignment vertical="center" wrapText="1"/>
    </xf>
    <xf numFmtId="0" fontId="34" fillId="3" borderId="187" xfId="0" applyNumberFormat="1" applyFont="1" applyFill="1" applyBorder="1" applyAlignment="1">
      <alignment horizontal="center" vertical="center" wrapText="1"/>
    </xf>
    <xf numFmtId="0" fontId="34" fillId="3" borderId="188" xfId="0" applyNumberFormat="1" applyFont="1" applyFill="1" applyBorder="1" applyAlignment="1">
      <alignment horizontal="center" vertical="center" wrapText="1"/>
    </xf>
    <xf numFmtId="0" fontId="34" fillId="3" borderId="189" xfId="0" applyNumberFormat="1" applyFont="1" applyFill="1" applyBorder="1" applyAlignment="1">
      <alignment horizontal="center" vertical="center" wrapText="1"/>
    </xf>
  </cellXfs>
  <cellStyles count="8">
    <cellStyle name="쉼표 [0]" xfId="1" builtinId="6"/>
    <cellStyle name="쉼표 [0] 2 2" xfId="3"/>
    <cellStyle name="쉼표 [0] 3 12" xfId="7"/>
    <cellStyle name="쉼표 [0] 4" xfId="4"/>
    <cellStyle name="통화 [0]" xfId="2" builtinId="7"/>
    <cellStyle name="표준" xfId="0" builtinId="0"/>
    <cellStyle name="표준 5" xfId="5"/>
    <cellStyle name="표준_결산 참고자료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>
        <a:xfrm>
          <a:off x="15065375" y="90884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>
        <a:xfrm>
          <a:off x="15065375" y="44211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>
        <a:xfrm>
          <a:off x="15065375" y="90884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>
        <a:xfrm>
          <a:off x="15065375" y="90884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>
        <a:xfrm>
          <a:off x="15065375" y="44211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8</xdr:col>
      <xdr:colOff>577850</xdr:colOff>
      <xdr:row>48</xdr:row>
      <xdr:rowOff>139700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47570" y="80492"/>
          <a:ext cx="8237112" cy="123556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38100</xdr:colOff>
      <xdr:row>0</xdr:row>
      <xdr:rowOff>0</xdr:rowOff>
    </xdr:from>
    <xdr:to>
      <xdr:col>33</xdr:col>
      <xdr:colOff>558800</xdr:colOff>
      <xdr:row>62</xdr:row>
      <xdr:rowOff>152400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8988381" y="0"/>
          <a:ext cx="8304190" cy="1266422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67</xdr:row>
      <xdr:rowOff>57150</xdr:rowOff>
    </xdr:from>
    <xdr:to>
      <xdr:col>11</xdr:col>
      <xdr:colOff>1270000</xdr:colOff>
      <xdr:row>118</xdr:row>
      <xdr:rowOff>69850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80492" y="13791127"/>
          <a:ext cx="8840811" cy="130264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FF"/>
    <pageSetUpPr fitToPage="1"/>
  </sheetPr>
  <dimension ref="A1:S42"/>
  <sheetViews>
    <sheetView view="pageBreakPreview" topLeftCell="A25" zoomScale="120" zoomScaleNormal="100" zoomScaleSheetLayoutView="120" workbookViewId="0">
      <selection activeCell="Q13" sqref="Q13"/>
    </sheetView>
  </sheetViews>
  <sheetFormatPr defaultColWidth="9" defaultRowHeight="12.95" customHeight="1"/>
  <cols>
    <col min="1" max="2" width="9" style="4"/>
    <col min="3" max="3" width="16.25" style="4" customWidth="1"/>
    <col min="4" max="4" width="13.75" style="2" customWidth="1"/>
    <col min="5" max="5" width="13.75" style="14" customWidth="1"/>
    <col min="6" max="6" width="10.25" style="2" customWidth="1"/>
    <col min="7" max="7" width="10" style="2" customWidth="1"/>
    <col min="8" max="9" width="9" style="4"/>
    <col min="10" max="10" width="16.25" style="5" customWidth="1"/>
    <col min="11" max="11" width="13.75" style="146" customWidth="1"/>
    <col min="12" max="12" width="13.75" style="164" customWidth="1"/>
    <col min="13" max="13" width="9.375" style="146" customWidth="1"/>
    <col min="14" max="14" width="10" style="146" customWidth="1"/>
    <col min="15" max="15" width="6.625" style="1" customWidth="1"/>
    <col min="16" max="16" width="4.875" style="17" customWidth="1"/>
    <col min="17" max="18" width="8.75" style="15" customWidth="1"/>
    <col min="19" max="19" width="6.75" style="17" customWidth="1"/>
    <col min="20" max="20" width="5" style="1" customWidth="1"/>
    <col min="21" max="22" width="5.5" style="1" customWidth="1"/>
    <col min="23" max="23" width="6.375" style="1" customWidth="1"/>
    <col min="24" max="16384" width="9" style="1"/>
  </cols>
  <sheetData>
    <row r="1" spans="1:17" ht="8.4499999999999993" customHeight="1"/>
    <row r="2" spans="1:17" ht="20.25" customHeight="1">
      <c r="A2" s="906" t="s">
        <v>18</v>
      </c>
      <c r="B2" s="906"/>
      <c r="C2" s="906"/>
      <c r="D2" s="906"/>
      <c r="E2" s="906"/>
      <c r="F2" s="906"/>
      <c r="G2" s="906"/>
      <c r="H2" s="906"/>
      <c r="I2" s="906"/>
      <c r="J2" s="906"/>
      <c r="K2" s="906"/>
      <c r="L2" s="906"/>
      <c r="M2" s="906"/>
      <c r="N2" s="906"/>
    </row>
    <row r="3" spans="1:17" ht="10.5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173"/>
      <c r="L3" s="173"/>
      <c r="M3" s="907" t="s">
        <v>369</v>
      </c>
      <c r="N3" s="907"/>
    </row>
    <row r="4" spans="1:17" ht="18.75" customHeight="1">
      <c r="A4" s="908" t="s">
        <v>21</v>
      </c>
      <c r="B4" s="909"/>
      <c r="C4" s="909"/>
      <c r="D4" s="909"/>
      <c r="E4" s="909"/>
      <c r="F4" s="909"/>
      <c r="G4" s="910"/>
      <c r="H4" s="915" t="s">
        <v>28</v>
      </c>
      <c r="I4" s="909"/>
      <c r="J4" s="909"/>
      <c r="K4" s="909"/>
      <c r="L4" s="909"/>
      <c r="M4" s="916"/>
      <c r="N4" s="917"/>
    </row>
    <row r="5" spans="1:17" ht="15" customHeight="1">
      <c r="A5" s="920" t="s">
        <v>394</v>
      </c>
      <c r="B5" s="914"/>
      <c r="C5" s="914"/>
      <c r="D5" s="921" t="s">
        <v>11</v>
      </c>
      <c r="E5" s="921" t="s">
        <v>55</v>
      </c>
      <c r="F5" s="921" t="s">
        <v>58</v>
      </c>
      <c r="G5" s="927" t="s">
        <v>24</v>
      </c>
      <c r="H5" s="913" t="s">
        <v>394</v>
      </c>
      <c r="I5" s="914"/>
      <c r="J5" s="914"/>
      <c r="K5" s="911" t="s">
        <v>11</v>
      </c>
      <c r="L5" s="911" t="s">
        <v>55</v>
      </c>
      <c r="M5" s="911" t="s">
        <v>58</v>
      </c>
      <c r="N5" s="918" t="s">
        <v>24</v>
      </c>
    </row>
    <row r="6" spans="1:17" ht="16.5" customHeight="1">
      <c r="A6" s="10" t="s">
        <v>261</v>
      </c>
      <c r="B6" s="35" t="s">
        <v>254</v>
      </c>
      <c r="C6" s="35" t="s">
        <v>259</v>
      </c>
      <c r="D6" s="922"/>
      <c r="E6" s="922"/>
      <c r="F6" s="922"/>
      <c r="G6" s="928"/>
      <c r="H6" s="37" t="s">
        <v>261</v>
      </c>
      <c r="I6" s="35" t="s">
        <v>254</v>
      </c>
      <c r="J6" s="36" t="s">
        <v>259</v>
      </c>
      <c r="K6" s="912"/>
      <c r="L6" s="912"/>
      <c r="M6" s="912"/>
      <c r="N6" s="919"/>
    </row>
    <row r="7" spans="1:17" ht="19.5" customHeight="1">
      <c r="A7" s="923" t="s">
        <v>15</v>
      </c>
      <c r="B7" s="924"/>
      <c r="C7" s="924"/>
      <c r="D7" s="288">
        <f>D8+D11+D14+D18+D21+D26</f>
        <v>122457000</v>
      </c>
      <c r="E7" s="288">
        <f t="shared" ref="E7:F7" si="0">E8+E11+E14+E18+E21+E26</f>
        <v>114074217</v>
      </c>
      <c r="F7" s="288">
        <f t="shared" si="0"/>
        <v>-8382783</v>
      </c>
      <c r="G7" s="283">
        <f>F7/D7*100</f>
        <v>-6.8454910703348926</v>
      </c>
      <c r="H7" s="925" t="s">
        <v>15</v>
      </c>
      <c r="I7" s="926"/>
      <c r="J7" s="926"/>
      <c r="K7" s="174">
        <f>SUM(K8+K20+K23+K36+K39+K42)</f>
        <v>122457000</v>
      </c>
      <c r="L7" s="174">
        <f ca="1">SUM(L8+L20+L23+L36+L39+L42)</f>
        <v>114074217</v>
      </c>
      <c r="M7" s="174">
        <f ca="1">L7-K7</f>
        <v>-8382783</v>
      </c>
      <c r="N7" s="297">
        <f ca="1">M7/K7*100</f>
        <v>-6.8454910703348926</v>
      </c>
      <c r="P7" s="21"/>
      <c r="Q7" s="19"/>
    </row>
    <row r="8" spans="1:17" ht="17.25" customHeight="1">
      <c r="A8" s="176" t="s">
        <v>200</v>
      </c>
      <c r="B8" s="177" t="s">
        <v>310</v>
      </c>
      <c r="C8" s="177"/>
      <c r="D8" s="289">
        <f>D9</f>
        <v>18800000</v>
      </c>
      <c r="E8" s="289">
        <f>E9</f>
        <v>10700000</v>
      </c>
      <c r="F8" s="289">
        <f>E8-D8</f>
        <v>-8100000</v>
      </c>
      <c r="G8" s="284">
        <f>F8/D8*100</f>
        <v>-43.085106382978722</v>
      </c>
      <c r="H8" s="178" t="s">
        <v>268</v>
      </c>
      <c r="I8" s="179" t="s">
        <v>310</v>
      </c>
      <c r="J8" s="179"/>
      <c r="K8" s="289">
        <f>SUM(K9+K14+K16)</f>
        <v>94603180</v>
      </c>
      <c r="L8" s="289">
        <f ca="1">SUM(L9+L14+L16)</f>
        <v>84487840</v>
      </c>
      <c r="M8" s="289">
        <f ca="1">L8-K8</f>
        <v>-10115340</v>
      </c>
      <c r="N8" s="298">
        <f ca="1">M8/K8*100</f>
        <v>-10.692388987346938</v>
      </c>
      <c r="Q8" s="16"/>
    </row>
    <row r="9" spans="1:17" ht="17.25" customHeight="1">
      <c r="A9" s="158"/>
      <c r="B9" s="185" t="s">
        <v>226</v>
      </c>
      <c r="C9" s="185" t="s">
        <v>267</v>
      </c>
      <c r="D9" s="290">
        <f>D10</f>
        <v>18800000</v>
      </c>
      <c r="E9" s="290">
        <f>E10</f>
        <v>10700000</v>
      </c>
      <c r="F9" s="290">
        <f>E9-D9</f>
        <v>-8100000</v>
      </c>
      <c r="G9" s="285">
        <f>F9/D9*100</f>
        <v>-43.085106382978722</v>
      </c>
      <c r="H9" s="169"/>
      <c r="I9" s="100" t="s">
        <v>306</v>
      </c>
      <c r="J9" s="100" t="s">
        <v>267</v>
      </c>
      <c r="K9" s="290">
        <f>SUM(K10:K13)</f>
        <v>84363180</v>
      </c>
      <c r="L9" s="290">
        <f>SUM(L10:L13)</f>
        <v>79253900</v>
      </c>
      <c r="M9" s="290">
        <f>L9-K9</f>
        <v>-5109280</v>
      </c>
      <c r="N9" s="299">
        <f>M9/K9*100</f>
        <v>-6.0562913820934678</v>
      </c>
      <c r="P9" s="18"/>
      <c r="Q9" s="16"/>
    </row>
    <row r="10" spans="1:17" ht="17.25" customHeight="1">
      <c r="A10" s="160"/>
      <c r="B10" s="161"/>
      <c r="C10" s="161" t="s">
        <v>226</v>
      </c>
      <c r="D10" s="291">
        <f>'나. 세입결산'!D9</f>
        <v>18800000</v>
      </c>
      <c r="E10" s="291">
        <f>'나. 세입결산'!E9</f>
        <v>10700000</v>
      </c>
      <c r="F10" s="292">
        <f t="shared" ref="F10:F30" si="1">E10-D10</f>
        <v>-8100000</v>
      </c>
      <c r="G10" s="286">
        <f t="shared" ref="G10:G17" si="2">F10/D10*100</f>
        <v>-43.085106382978722</v>
      </c>
      <c r="H10" s="170"/>
      <c r="I10" s="104"/>
      <c r="J10" s="104" t="s">
        <v>262</v>
      </c>
      <c r="K10" s="291">
        <f>'다. 세출결산'!D9</f>
        <v>57176700</v>
      </c>
      <c r="L10" s="291">
        <f>'다. 세출결산'!E9</f>
        <v>57176700</v>
      </c>
      <c r="M10" s="292">
        <f>L10-K10</f>
        <v>0</v>
      </c>
      <c r="N10" s="300">
        <f>M10/K10*100</f>
        <v>0</v>
      </c>
    </row>
    <row r="11" spans="1:17" ht="17.25" customHeight="1">
      <c r="A11" s="180" t="s">
        <v>246</v>
      </c>
      <c r="B11" s="181" t="s">
        <v>310</v>
      </c>
      <c r="C11" s="181"/>
      <c r="D11" s="293">
        <f>SUM(D12)</f>
        <v>96405180</v>
      </c>
      <c r="E11" s="293">
        <f>E12</f>
        <v>96262500</v>
      </c>
      <c r="F11" s="293">
        <f t="shared" si="1"/>
        <v>-142680</v>
      </c>
      <c r="G11" s="287">
        <f>F11/D11*100</f>
        <v>-0.14800034603949705</v>
      </c>
      <c r="H11" s="169"/>
      <c r="I11" s="101"/>
      <c r="J11" s="101" t="s">
        <v>272</v>
      </c>
      <c r="K11" s="292">
        <f>'다. 세출결산'!D16</f>
        <v>13906420</v>
      </c>
      <c r="L11" s="291">
        <f>'다. 세출결산'!E16</f>
        <v>13221020</v>
      </c>
      <c r="M11" s="292">
        <f t="shared" ref="M11:M28" si="3">L11-K11</f>
        <v>-685400</v>
      </c>
      <c r="N11" s="300">
        <f t="shared" ref="N11:N13" si="4">M11/K11*100</f>
        <v>-4.9286588496536128</v>
      </c>
    </row>
    <row r="12" spans="1:17" ht="17.25" customHeight="1">
      <c r="A12" s="165"/>
      <c r="B12" s="186" t="s">
        <v>246</v>
      </c>
      <c r="C12" s="186" t="s">
        <v>267</v>
      </c>
      <c r="D12" s="188">
        <f>SUM(D13)</f>
        <v>96405180</v>
      </c>
      <c r="E12" s="290">
        <f>E13</f>
        <v>96262500</v>
      </c>
      <c r="F12" s="290">
        <f t="shared" si="1"/>
        <v>-142680</v>
      </c>
      <c r="G12" s="285">
        <f>F12/D12*100</f>
        <v>-0.14800034603949705</v>
      </c>
      <c r="H12" s="169"/>
      <c r="I12" s="101"/>
      <c r="J12" s="101" t="s">
        <v>48</v>
      </c>
      <c r="K12" s="292">
        <f>'다. 세출결산'!D28</f>
        <v>5923590</v>
      </c>
      <c r="L12" s="291">
        <f>'다. 세출결산'!E28</f>
        <v>5866520</v>
      </c>
      <c r="M12" s="292">
        <f t="shared" si="3"/>
        <v>-57070</v>
      </c>
      <c r="N12" s="300">
        <f t="shared" si="4"/>
        <v>-0.96343602443788312</v>
      </c>
      <c r="O12" s="11"/>
    </row>
    <row r="13" spans="1:17" ht="17.25" customHeight="1">
      <c r="A13" s="158"/>
      <c r="B13" s="159"/>
      <c r="C13" s="159" t="s">
        <v>204</v>
      </c>
      <c r="D13" s="294">
        <f>'나. 세입결산'!D18</f>
        <v>96405180</v>
      </c>
      <c r="E13" s="291">
        <f>'나. 세입결산'!E18</f>
        <v>96262500</v>
      </c>
      <c r="F13" s="292">
        <f t="shared" si="1"/>
        <v>-142680</v>
      </c>
      <c r="G13" s="286">
        <f>F13/D13*100</f>
        <v>-0.14800034603949705</v>
      </c>
      <c r="H13" s="169"/>
      <c r="I13" s="101"/>
      <c r="J13" s="101" t="s">
        <v>376</v>
      </c>
      <c r="K13" s="292">
        <f>'다. 세출결산'!D30</f>
        <v>7356470</v>
      </c>
      <c r="L13" s="291">
        <f>'다. 세출결산'!E30</f>
        <v>2989660</v>
      </c>
      <c r="M13" s="292">
        <f t="shared" si="3"/>
        <v>-4366810</v>
      </c>
      <c r="N13" s="300">
        <f t="shared" si="4"/>
        <v>-59.360127887424262</v>
      </c>
      <c r="O13" s="11"/>
    </row>
    <row r="14" spans="1:17" ht="17.25" customHeight="1">
      <c r="A14" s="180" t="s">
        <v>285</v>
      </c>
      <c r="B14" s="181" t="s">
        <v>310</v>
      </c>
      <c r="C14" s="181"/>
      <c r="D14" s="295">
        <f>SUM(D15)</f>
        <v>0</v>
      </c>
      <c r="E14" s="295">
        <f>SUM(E15)</f>
        <v>0</v>
      </c>
      <c r="F14" s="293">
        <f t="shared" si="1"/>
        <v>0</v>
      </c>
      <c r="G14" s="287" t="e">
        <f>F14/D14*100</f>
        <v>#DIV/0!</v>
      </c>
      <c r="H14" s="169"/>
      <c r="I14" s="100" t="s">
        <v>95</v>
      </c>
      <c r="J14" s="100" t="s">
        <v>267</v>
      </c>
      <c r="K14" s="296">
        <f>K15</f>
        <v>140000</v>
      </c>
      <c r="L14" s="296">
        <f>L15</f>
        <v>37200</v>
      </c>
      <c r="M14" s="290">
        <f t="shared" si="3"/>
        <v>-102800</v>
      </c>
      <c r="N14" s="299">
        <v>0</v>
      </c>
      <c r="O14" s="11"/>
      <c r="P14" s="19"/>
    </row>
    <row r="15" spans="1:17" ht="17.25" customHeight="1">
      <c r="A15" s="158"/>
      <c r="B15" s="185" t="s">
        <v>85</v>
      </c>
      <c r="C15" s="185" t="s">
        <v>267</v>
      </c>
      <c r="D15" s="296">
        <f>SUM(D16:D17)</f>
        <v>0</v>
      </c>
      <c r="E15" s="296">
        <f>SUM(E16:E17)</f>
        <v>0</v>
      </c>
      <c r="F15" s="290">
        <f t="shared" si="1"/>
        <v>0</v>
      </c>
      <c r="G15" s="285">
        <v>0</v>
      </c>
      <c r="H15" s="169"/>
      <c r="I15" s="101"/>
      <c r="J15" s="101" t="s">
        <v>301</v>
      </c>
      <c r="K15" s="294">
        <f>'다. 세출결산'!D45</f>
        <v>140000</v>
      </c>
      <c r="L15" s="291">
        <f>'다. 세출결산'!E45</f>
        <v>37200</v>
      </c>
      <c r="M15" s="292">
        <f t="shared" si="3"/>
        <v>-102800</v>
      </c>
      <c r="N15" s="300">
        <v>0</v>
      </c>
      <c r="O15" s="11"/>
    </row>
    <row r="16" spans="1:17" ht="17.25" customHeight="1">
      <c r="A16" s="158"/>
      <c r="B16" s="159"/>
      <c r="C16" s="159" t="s">
        <v>88</v>
      </c>
      <c r="D16" s="294">
        <f>'나. 세입결산'!D23</f>
        <v>0</v>
      </c>
      <c r="E16" s="291">
        <f>'나. 세입결산'!E23</f>
        <v>0</v>
      </c>
      <c r="F16" s="292">
        <f t="shared" si="1"/>
        <v>0</v>
      </c>
      <c r="G16" s="286" t="e">
        <f>F15/D15*100</f>
        <v>#DIV/0!</v>
      </c>
      <c r="H16" s="169"/>
      <c r="I16" s="100" t="s">
        <v>311</v>
      </c>
      <c r="J16" s="100" t="s">
        <v>267</v>
      </c>
      <c r="K16" s="296">
        <f>SUM(K17:K19)</f>
        <v>10100000</v>
      </c>
      <c r="L16" s="296">
        <f ca="1">SUM(L17:L19)</f>
        <v>5196740</v>
      </c>
      <c r="M16" s="290">
        <f t="shared" ca="1" si="3"/>
        <v>-4903260</v>
      </c>
      <c r="N16" s="299">
        <f ca="1">M16/K16*100</f>
        <v>-48.547128712871285</v>
      </c>
      <c r="O16" s="11"/>
    </row>
    <row r="17" spans="1:18" ht="17.25" customHeight="1">
      <c r="A17" s="642"/>
      <c r="B17" s="643"/>
      <c r="C17" s="643" t="s">
        <v>93</v>
      </c>
      <c r="D17" s="644">
        <f>'나. 세입결산'!D24</f>
        <v>0</v>
      </c>
      <c r="E17" s="645">
        <f>'나. 세입결산'!E24</f>
        <v>0</v>
      </c>
      <c r="F17" s="645">
        <f t="shared" si="1"/>
        <v>0</v>
      </c>
      <c r="G17" s="646" t="e">
        <f t="shared" si="2"/>
        <v>#DIV/0!</v>
      </c>
      <c r="H17" s="169"/>
      <c r="I17" s="101"/>
      <c r="J17" s="101" t="s">
        <v>173</v>
      </c>
      <c r="K17" s="294">
        <f>'다. 세출결산'!D51</f>
        <v>3780000</v>
      </c>
      <c r="L17" s="291">
        <f ca="1">'다. 세출결산'!E51</f>
        <v>2331100</v>
      </c>
      <c r="M17" s="292">
        <f t="shared" ca="1" si="3"/>
        <v>-1448900</v>
      </c>
      <c r="N17" s="300">
        <f t="shared" ref="N17:N19" ca="1" si="5">M17/K17*100</f>
        <v>-38.330687830687829</v>
      </c>
      <c r="O17" s="11"/>
    </row>
    <row r="18" spans="1:18" ht="17.25" customHeight="1">
      <c r="A18" s="180" t="s">
        <v>291</v>
      </c>
      <c r="B18" s="181" t="s">
        <v>310</v>
      </c>
      <c r="C18" s="181"/>
      <c r="D18" s="293">
        <f>D19</f>
        <v>0</v>
      </c>
      <c r="E18" s="293">
        <f>E19</f>
        <v>0</v>
      </c>
      <c r="F18" s="293">
        <f t="shared" ref="F18:F19" si="6">E18-D18</f>
        <v>0</v>
      </c>
      <c r="G18" s="287" t="e">
        <f>F18/D18*100</f>
        <v>#DIV/0!</v>
      </c>
      <c r="H18" s="169"/>
      <c r="I18" s="101"/>
      <c r="J18" s="101" t="s">
        <v>210</v>
      </c>
      <c r="K18" s="294">
        <f>'다. 세출결산'!D65</f>
        <v>5400000</v>
      </c>
      <c r="L18" s="291">
        <f>'다. 세출결산'!E65</f>
        <v>2675640</v>
      </c>
      <c r="M18" s="292">
        <f t="shared" si="3"/>
        <v>-2724360</v>
      </c>
      <c r="N18" s="300">
        <f t="shared" si="5"/>
        <v>-50.451111111111111</v>
      </c>
      <c r="O18" s="11"/>
      <c r="Q18" s="16"/>
    </row>
    <row r="19" spans="1:18" ht="17.25" customHeight="1">
      <c r="A19" s="158"/>
      <c r="B19" s="186" t="s">
        <v>291</v>
      </c>
      <c r="C19" s="185" t="s">
        <v>267</v>
      </c>
      <c r="D19" s="290">
        <f>SUM(D20)</f>
        <v>0</v>
      </c>
      <c r="E19" s="290">
        <f>SUM(E20)</f>
        <v>0</v>
      </c>
      <c r="F19" s="290">
        <f t="shared" si="6"/>
        <v>0</v>
      </c>
      <c r="G19" s="870" t="e">
        <f>F19/D90*100</f>
        <v>#DIV/0!</v>
      </c>
      <c r="H19" s="169"/>
      <c r="I19" s="101"/>
      <c r="J19" s="101" t="s">
        <v>307</v>
      </c>
      <c r="K19" s="294">
        <f>'다. 세출결산'!D74</f>
        <v>920000</v>
      </c>
      <c r="L19" s="291">
        <f>'다. 세출결산'!E74</f>
        <v>190000</v>
      </c>
      <c r="M19" s="292">
        <f t="shared" si="3"/>
        <v>-730000</v>
      </c>
      <c r="N19" s="300">
        <f t="shared" si="5"/>
        <v>-79.347826086956516</v>
      </c>
      <c r="O19" s="11"/>
    </row>
    <row r="20" spans="1:18" ht="17.25" customHeight="1">
      <c r="A20" s="165"/>
      <c r="B20" s="166"/>
      <c r="C20" s="166" t="s">
        <v>92</v>
      </c>
      <c r="D20" s="175">
        <f>'나. 세입결산'!D27</f>
        <v>0</v>
      </c>
      <c r="E20" s="291">
        <f>'나. 세입결산'!E27</f>
        <v>0</v>
      </c>
      <c r="F20" s="292">
        <f t="shared" si="1"/>
        <v>0</v>
      </c>
      <c r="G20" s="286" t="e">
        <f>F20/D20*100</f>
        <v>#DIV/0!</v>
      </c>
      <c r="H20" s="189" t="s">
        <v>247</v>
      </c>
      <c r="I20" s="103" t="s">
        <v>310</v>
      </c>
      <c r="J20" s="103"/>
      <c r="K20" s="295">
        <f>K21</f>
        <v>1400000</v>
      </c>
      <c r="L20" s="293">
        <f>L21</f>
        <v>535000</v>
      </c>
      <c r="M20" s="293">
        <f t="shared" si="3"/>
        <v>-865000</v>
      </c>
      <c r="N20" s="301">
        <f>M20/K20*100</f>
        <v>-61.785714285714292</v>
      </c>
      <c r="O20" s="11"/>
    </row>
    <row r="21" spans="1:18" ht="17.25" customHeight="1">
      <c r="A21" s="180" t="s">
        <v>289</v>
      </c>
      <c r="B21" s="181" t="s">
        <v>310</v>
      </c>
      <c r="C21" s="181"/>
      <c r="D21" s="293">
        <f>D22</f>
        <v>7096842</v>
      </c>
      <c r="E21" s="293">
        <f>E22</f>
        <v>7096842</v>
      </c>
      <c r="F21" s="293">
        <f t="shared" ref="F21:F25" si="7">E21-D21</f>
        <v>0</v>
      </c>
      <c r="G21" s="287">
        <f>F21/D21*100</f>
        <v>0</v>
      </c>
      <c r="H21" s="647" t="s">
        <v>275</v>
      </c>
      <c r="I21" s="100" t="s">
        <v>298</v>
      </c>
      <c r="J21" s="100" t="s">
        <v>267</v>
      </c>
      <c r="K21" s="296">
        <f>K22</f>
        <v>1400000</v>
      </c>
      <c r="L21" s="296">
        <f>L22</f>
        <v>535000</v>
      </c>
      <c r="M21" s="290">
        <f t="shared" si="3"/>
        <v>-865000</v>
      </c>
      <c r="N21" s="299">
        <f>M21/K21*100</f>
        <v>-61.785714285714292</v>
      </c>
      <c r="O21" s="11"/>
    </row>
    <row r="22" spans="1:18" ht="17.25" customHeight="1">
      <c r="A22" s="167"/>
      <c r="B22" s="186" t="s">
        <v>289</v>
      </c>
      <c r="C22" s="188" t="s">
        <v>267</v>
      </c>
      <c r="D22" s="188">
        <f>SUM(D23:D25)</f>
        <v>7096842</v>
      </c>
      <c r="E22" s="290">
        <f>SUM(E23:E25)</f>
        <v>7096842</v>
      </c>
      <c r="F22" s="290">
        <f t="shared" si="7"/>
        <v>0</v>
      </c>
      <c r="G22" s="285">
        <f t="shared" ref="G22" si="8">F22/D22*100</f>
        <v>0</v>
      </c>
      <c r="H22" s="647"/>
      <c r="I22" s="101"/>
      <c r="J22" s="101" t="s">
        <v>178</v>
      </c>
      <c r="K22" s="294">
        <f>'다. 세출결산'!D91</f>
        <v>1400000</v>
      </c>
      <c r="L22" s="291">
        <f>'다. 세출결산'!E91</f>
        <v>535000</v>
      </c>
      <c r="M22" s="292">
        <f t="shared" si="3"/>
        <v>-865000</v>
      </c>
      <c r="N22" s="300">
        <f>M22/K22*100</f>
        <v>-61.785714285714292</v>
      </c>
      <c r="O22" s="11"/>
      <c r="P22" s="18"/>
      <c r="Q22" s="16"/>
      <c r="R22" s="16"/>
    </row>
    <row r="23" spans="1:18" ht="17.25" customHeight="1">
      <c r="A23" s="158"/>
      <c r="B23" s="159"/>
      <c r="C23" s="159" t="s">
        <v>353</v>
      </c>
      <c r="D23" s="294">
        <f>'나. 세입결산'!D30</f>
        <v>3012061</v>
      </c>
      <c r="E23" s="291">
        <f>'나. 세입결산'!E30</f>
        <v>3012061</v>
      </c>
      <c r="F23" s="292">
        <f t="shared" si="7"/>
        <v>0</v>
      </c>
      <c r="G23" s="286">
        <f t="shared" ref="G23:G28" si="9">F23/D23*100</f>
        <v>0</v>
      </c>
      <c r="H23" s="648" t="s">
        <v>255</v>
      </c>
      <c r="I23" s="103" t="s">
        <v>310</v>
      </c>
      <c r="J23" s="103"/>
      <c r="K23" s="295">
        <f>SUM(K24+K29)</f>
        <v>22267000</v>
      </c>
      <c r="L23" s="295">
        <f>SUM(L24+L29)</f>
        <v>11362780</v>
      </c>
      <c r="M23" s="293">
        <f t="shared" si="3"/>
        <v>-10904220</v>
      </c>
      <c r="N23" s="301">
        <f>M23/K23*100</f>
        <v>-48.970314815646468</v>
      </c>
      <c r="O23" s="11"/>
      <c r="P23" s="18"/>
      <c r="Q23" s="16"/>
      <c r="R23" s="16"/>
    </row>
    <row r="24" spans="1:18" ht="17.25" customHeight="1">
      <c r="A24" s="158"/>
      <c r="B24" s="159"/>
      <c r="C24" s="159" t="s">
        <v>384</v>
      </c>
      <c r="D24" s="294">
        <f>'나. 세입결산'!D31</f>
        <v>0</v>
      </c>
      <c r="E24" s="291">
        <f>'나. 세입결산'!E31</f>
        <v>0</v>
      </c>
      <c r="F24" s="292">
        <f t="shared" si="7"/>
        <v>0</v>
      </c>
      <c r="G24" s="286" t="e">
        <f t="shared" si="9"/>
        <v>#DIV/0!</v>
      </c>
      <c r="H24" s="647"/>
      <c r="I24" s="100" t="s">
        <v>311</v>
      </c>
      <c r="J24" s="100" t="s">
        <v>267</v>
      </c>
      <c r="K24" s="296">
        <f>SUM(K25:K28)</f>
        <v>17400000</v>
      </c>
      <c r="L24" s="296">
        <f>SUM(L25:L28)</f>
        <v>9485110</v>
      </c>
      <c r="M24" s="290">
        <f t="shared" si="3"/>
        <v>-7914890</v>
      </c>
      <c r="N24" s="299">
        <f>M24/K24*100</f>
        <v>-45.487873563218386</v>
      </c>
      <c r="O24" s="11"/>
      <c r="P24" s="18"/>
      <c r="Q24" s="16"/>
      <c r="R24" s="16"/>
    </row>
    <row r="25" spans="1:18" ht="17.25" customHeight="1">
      <c r="A25" s="158"/>
      <c r="B25" s="159"/>
      <c r="C25" s="159" t="s">
        <v>325</v>
      </c>
      <c r="D25" s="294">
        <f>'나. 세입결산'!D32</f>
        <v>4084781</v>
      </c>
      <c r="E25" s="291">
        <f>'나. 세입결산'!E32</f>
        <v>4084781</v>
      </c>
      <c r="F25" s="292">
        <f t="shared" si="7"/>
        <v>0</v>
      </c>
      <c r="G25" s="286">
        <f t="shared" si="9"/>
        <v>0</v>
      </c>
      <c r="H25" s="647"/>
      <c r="I25" s="101"/>
      <c r="J25" s="101" t="s">
        <v>321</v>
      </c>
      <c r="K25" s="294">
        <f>'다. 세출결산'!D98</f>
        <v>8820000</v>
      </c>
      <c r="L25" s="291">
        <f>'다. 세출결산'!E98</f>
        <v>6071000</v>
      </c>
      <c r="M25" s="292">
        <f t="shared" si="3"/>
        <v>-2749000</v>
      </c>
      <c r="N25" s="300">
        <f t="shared" ref="N25:N28" si="10">M25/K25*100</f>
        <v>-31.167800453514737</v>
      </c>
      <c r="O25" s="11"/>
      <c r="P25" s="18"/>
      <c r="Q25" s="16"/>
      <c r="R25" s="16"/>
    </row>
    <row r="26" spans="1:18" ht="17.25" customHeight="1">
      <c r="A26" s="183" t="s">
        <v>318</v>
      </c>
      <c r="B26" s="184" t="s">
        <v>310</v>
      </c>
      <c r="C26" s="181"/>
      <c r="D26" s="295">
        <f>D27</f>
        <v>154978</v>
      </c>
      <c r="E26" s="293">
        <f>E27</f>
        <v>14875</v>
      </c>
      <c r="F26" s="293">
        <f t="shared" si="1"/>
        <v>-140103</v>
      </c>
      <c r="G26" s="287">
        <f t="shared" si="9"/>
        <v>-90.401863490301849</v>
      </c>
      <c r="H26" s="647"/>
      <c r="I26" s="101"/>
      <c r="J26" s="101" t="s">
        <v>201</v>
      </c>
      <c r="K26" s="294">
        <f>'다. 세출결산'!D100</f>
        <v>1380000</v>
      </c>
      <c r="L26" s="291">
        <f>'다. 세출결산'!E100</f>
        <v>1116200</v>
      </c>
      <c r="M26" s="292">
        <f t="shared" si="3"/>
        <v>-263800</v>
      </c>
      <c r="N26" s="300">
        <f t="shared" si="10"/>
        <v>-19.115942028985508</v>
      </c>
      <c r="O26" s="11"/>
      <c r="P26" s="18"/>
      <c r="Q26" s="16"/>
      <c r="R26" s="16"/>
    </row>
    <row r="27" spans="1:18" ht="17.25" customHeight="1">
      <c r="A27" s="165"/>
      <c r="B27" s="186" t="s">
        <v>318</v>
      </c>
      <c r="C27" s="186" t="s">
        <v>267</v>
      </c>
      <c r="D27" s="188">
        <f>'나. 세입결산'!D34</f>
        <v>154978</v>
      </c>
      <c r="E27" s="188">
        <f>'나. 세입결산'!E34</f>
        <v>14875</v>
      </c>
      <c r="F27" s="290">
        <f t="shared" si="1"/>
        <v>-140103</v>
      </c>
      <c r="G27" s="285">
        <f t="shared" si="9"/>
        <v>-90.401863490301849</v>
      </c>
      <c r="H27" s="661"/>
      <c r="I27" s="171"/>
      <c r="J27" s="101" t="s">
        <v>320</v>
      </c>
      <c r="K27" s="175">
        <f>'다. 세출결산'!D105</f>
        <v>600000</v>
      </c>
      <c r="L27" s="291">
        <f>'다. 세출결산'!E105</f>
        <v>150000</v>
      </c>
      <c r="M27" s="292">
        <f t="shared" si="3"/>
        <v>-450000</v>
      </c>
      <c r="N27" s="300">
        <f t="shared" si="10"/>
        <v>-75</v>
      </c>
      <c r="O27" s="11"/>
      <c r="P27" s="18"/>
      <c r="Q27" s="16"/>
      <c r="R27" s="16"/>
    </row>
    <row r="28" spans="1:18" ht="17.25" customHeight="1">
      <c r="A28" s="744"/>
      <c r="B28" s="745"/>
      <c r="C28" s="746" t="s">
        <v>101</v>
      </c>
      <c r="D28" s="747">
        <f>'나. 세입결산'!D36</f>
        <v>60000</v>
      </c>
      <c r="E28" s="742">
        <f>'나. 세입결산'!E36</f>
        <v>0</v>
      </c>
      <c r="F28" s="742">
        <f t="shared" si="1"/>
        <v>-60000</v>
      </c>
      <c r="G28" s="743">
        <f t="shared" si="9"/>
        <v>-100</v>
      </c>
      <c r="H28" s="662"/>
      <c r="I28" s="655"/>
      <c r="J28" s="101" t="s">
        <v>316</v>
      </c>
      <c r="K28" s="175">
        <f>'다. 세출결산'!D107</f>
        <v>6600000</v>
      </c>
      <c r="L28" s="291">
        <f>'다. 세출결산'!E107</f>
        <v>2147910</v>
      </c>
      <c r="M28" s="292">
        <f t="shared" si="3"/>
        <v>-4452090</v>
      </c>
      <c r="N28" s="300">
        <f t="shared" si="10"/>
        <v>-67.455909090909088</v>
      </c>
      <c r="O28" s="11"/>
      <c r="P28" s="18"/>
      <c r="Q28" s="16"/>
    </row>
    <row r="29" spans="1:18" ht="17.25" customHeight="1">
      <c r="A29" s="871"/>
      <c r="B29" s="643"/>
      <c r="C29" s="643" t="s">
        <v>332</v>
      </c>
      <c r="D29" s="645">
        <f>'나. 세입결산'!D37</f>
        <v>84978</v>
      </c>
      <c r="E29" s="645">
        <f>'나. 세입결산'!E37</f>
        <v>14874</v>
      </c>
      <c r="F29" s="742">
        <f t="shared" si="1"/>
        <v>-70104</v>
      </c>
      <c r="G29" s="743">
        <f t="shared" ref="G29:G30" si="11">F29/D29*100</f>
        <v>-82.49664619077879</v>
      </c>
      <c r="H29" s="663"/>
      <c r="I29" s="108" t="s">
        <v>255</v>
      </c>
      <c r="J29" s="100" t="s">
        <v>267</v>
      </c>
      <c r="K29" s="188">
        <f>SUM(K30:K35)</f>
        <v>4867000</v>
      </c>
      <c r="L29" s="188">
        <f>SUM(L30:L35)</f>
        <v>1877670</v>
      </c>
      <c r="M29" s="188">
        <f>SUM(M30:M35)</f>
        <v>-2989330</v>
      </c>
      <c r="N29" s="299">
        <f>M29/K29*100</f>
        <v>-61.420382165605091</v>
      </c>
      <c r="O29" s="11"/>
      <c r="P29" s="18"/>
      <c r="Q29" s="16"/>
    </row>
    <row r="30" spans="1:18" ht="17.25" customHeight="1">
      <c r="A30" s="874"/>
      <c r="B30" s="875"/>
      <c r="C30" s="875" t="s">
        <v>238</v>
      </c>
      <c r="D30" s="876">
        <f>'나. 세입결산'!D38</f>
        <v>10000</v>
      </c>
      <c r="E30" s="877">
        <f>'나. 세입결산'!E38</f>
        <v>1</v>
      </c>
      <c r="F30" s="878">
        <f t="shared" si="1"/>
        <v>-9999</v>
      </c>
      <c r="G30" s="879">
        <f t="shared" si="11"/>
        <v>-99.99</v>
      </c>
      <c r="H30" s="663"/>
      <c r="I30" s="106"/>
      <c r="J30" s="104" t="s">
        <v>218</v>
      </c>
      <c r="K30" s="445">
        <f>'다. 세출결산'!D111</f>
        <v>50000</v>
      </c>
      <c r="L30" s="291">
        <f>'다. 세출결산'!E111</f>
        <v>25000</v>
      </c>
      <c r="M30" s="292">
        <f t="shared" ref="M30:M41" si="12">L30-K30</f>
        <v>-25000</v>
      </c>
      <c r="N30" s="300">
        <f t="shared" ref="N30:N40" si="13">M30/K30*100</f>
        <v>-50</v>
      </c>
      <c r="O30" s="11"/>
      <c r="P30" s="18"/>
      <c r="Q30" s="16"/>
    </row>
    <row r="31" spans="1:18" ht="17.25" customHeight="1">
      <c r="A31" s="872"/>
      <c r="B31" s="650"/>
      <c r="C31" s="650"/>
      <c r="D31" s="653"/>
      <c r="E31" s="652"/>
      <c r="F31" s="652"/>
      <c r="G31" s="654"/>
      <c r="H31" s="663"/>
      <c r="I31" s="106"/>
      <c r="J31" s="104" t="s">
        <v>215</v>
      </c>
      <c r="K31" s="445">
        <f>'다. 세출결산'!D113</f>
        <v>2395000</v>
      </c>
      <c r="L31" s="291">
        <f>'다. 세출결산'!E113</f>
        <v>1037170</v>
      </c>
      <c r="M31" s="292">
        <f t="shared" si="12"/>
        <v>-1357830</v>
      </c>
      <c r="N31" s="300">
        <f t="shared" si="13"/>
        <v>-56.69436325678496</v>
      </c>
      <c r="O31" s="11"/>
      <c r="P31" s="18"/>
      <c r="Q31" s="16"/>
    </row>
    <row r="32" spans="1:18" ht="17.25" customHeight="1">
      <c r="A32" s="650"/>
      <c r="B32" s="650"/>
      <c r="C32" s="650"/>
      <c r="D32" s="653"/>
      <c r="E32" s="652"/>
      <c r="F32" s="652"/>
      <c r="G32" s="654"/>
      <c r="H32" s="663"/>
      <c r="I32" s="106"/>
      <c r="J32" s="104" t="s">
        <v>49</v>
      </c>
      <c r="K32" s="445">
        <f>'다. 세출결산'!D122</f>
        <v>420000</v>
      </c>
      <c r="L32" s="291">
        <f>'다. 세출결산'!E122</f>
        <v>33000</v>
      </c>
      <c r="M32" s="292">
        <f t="shared" si="12"/>
        <v>-387000</v>
      </c>
      <c r="N32" s="300">
        <f t="shared" si="13"/>
        <v>-92.142857142857139</v>
      </c>
      <c r="O32" s="11"/>
      <c r="P32" s="18"/>
      <c r="Q32" s="16"/>
    </row>
    <row r="33" spans="1:17" ht="17.25" customHeight="1">
      <c r="A33" s="650"/>
      <c r="B33" s="650"/>
      <c r="C33" s="650"/>
      <c r="D33" s="653"/>
      <c r="E33" s="652"/>
      <c r="F33" s="652"/>
      <c r="G33" s="654"/>
      <c r="H33" s="663"/>
      <c r="I33" s="106"/>
      <c r="J33" s="104" t="s">
        <v>203</v>
      </c>
      <c r="K33" s="445">
        <f>'다. 세출결산'!D125</f>
        <v>360000</v>
      </c>
      <c r="L33" s="291">
        <f>'다. 세출결산'!E125</f>
        <v>0</v>
      </c>
      <c r="M33" s="292">
        <f t="shared" si="12"/>
        <v>-360000</v>
      </c>
      <c r="N33" s="300">
        <f t="shared" si="13"/>
        <v>-100</v>
      </c>
      <c r="O33" s="11"/>
      <c r="P33" s="18"/>
      <c r="Q33" s="16"/>
    </row>
    <row r="34" spans="1:17" ht="17.25" customHeight="1">
      <c r="A34" s="650"/>
      <c r="B34" s="650"/>
      <c r="C34" s="650"/>
      <c r="D34" s="653"/>
      <c r="E34" s="652"/>
      <c r="F34" s="652"/>
      <c r="G34" s="654"/>
      <c r="H34" s="663"/>
      <c r="I34" s="106"/>
      <c r="J34" s="104" t="s">
        <v>329</v>
      </c>
      <c r="K34" s="445">
        <f>'다. 세출결산'!D127</f>
        <v>1642000</v>
      </c>
      <c r="L34" s="291">
        <f>'다. 세출결산'!E127</f>
        <v>782500</v>
      </c>
      <c r="M34" s="292">
        <f t="shared" si="12"/>
        <v>-859500</v>
      </c>
      <c r="N34" s="300">
        <f t="shared" si="13"/>
        <v>-52.344701583434841</v>
      </c>
      <c r="O34" s="11"/>
      <c r="P34" s="18"/>
      <c r="Q34" s="16"/>
    </row>
    <row r="35" spans="1:17" ht="17.25" customHeight="1">
      <c r="A35" s="650"/>
      <c r="B35" s="650"/>
      <c r="C35" s="650"/>
      <c r="D35" s="653"/>
      <c r="E35" s="652"/>
      <c r="F35" s="652"/>
      <c r="G35" s="654"/>
      <c r="H35" s="664"/>
      <c r="I35" s="106"/>
      <c r="J35" s="104" t="s">
        <v>46</v>
      </c>
      <c r="K35" s="445">
        <f>'다. 세출결산'!D133</f>
        <v>0</v>
      </c>
      <c r="L35" s="291">
        <f>'다. 세출결산'!E133</f>
        <v>0</v>
      </c>
      <c r="M35" s="292">
        <f t="shared" si="12"/>
        <v>0</v>
      </c>
      <c r="N35" s="300" t="e">
        <f t="shared" si="13"/>
        <v>#DIV/0!</v>
      </c>
      <c r="O35" s="11"/>
      <c r="P35" s="18"/>
      <c r="Q35" s="16"/>
    </row>
    <row r="36" spans="1:17" ht="17.25" customHeight="1">
      <c r="A36" s="650"/>
      <c r="B36" s="650"/>
      <c r="C36" s="650"/>
      <c r="D36" s="653"/>
      <c r="E36" s="652"/>
      <c r="F36" s="652"/>
      <c r="G36" s="654"/>
      <c r="H36" s="658" t="s">
        <v>308</v>
      </c>
      <c r="I36" s="657" t="s">
        <v>310</v>
      </c>
      <c r="J36" s="103"/>
      <c r="K36" s="250">
        <f>K37</f>
        <v>102039</v>
      </c>
      <c r="L36" s="250">
        <f>L37</f>
        <v>0</v>
      </c>
      <c r="M36" s="293">
        <f t="shared" si="12"/>
        <v>-102039</v>
      </c>
      <c r="N36" s="301">
        <f t="shared" si="13"/>
        <v>-100</v>
      </c>
      <c r="O36" s="11"/>
      <c r="P36" s="18"/>
      <c r="Q36" s="16"/>
    </row>
    <row r="37" spans="1:17" ht="17.25" customHeight="1">
      <c r="A37" s="650"/>
      <c r="B37" s="650"/>
      <c r="C37" s="650"/>
      <c r="D37" s="653"/>
      <c r="E37" s="652"/>
      <c r="F37" s="652"/>
      <c r="G37" s="654"/>
      <c r="H37" s="656"/>
      <c r="I37" s="108" t="s">
        <v>308</v>
      </c>
      <c r="J37" s="100" t="s">
        <v>267</v>
      </c>
      <c r="K37" s="188">
        <f>SUM(K38)</f>
        <v>102039</v>
      </c>
      <c r="L37" s="188">
        <f>SUM(L38)</f>
        <v>0</v>
      </c>
      <c r="M37" s="290">
        <f t="shared" si="12"/>
        <v>-102039</v>
      </c>
      <c r="N37" s="299">
        <f t="shared" si="13"/>
        <v>-100</v>
      </c>
      <c r="O37" s="11"/>
      <c r="P37" s="18"/>
      <c r="Q37" s="16"/>
    </row>
    <row r="38" spans="1:17" ht="17.25" customHeight="1">
      <c r="A38" s="651"/>
      <c r="B38" s="651"/>
      <c r="C38" s="651"/>
      <c r="D38" s="649"/>
      <c r="E38" s="652"/>
      <c r="F38" s="652"/>
      <c r="G38" s="654"/>
      <c r="H38" s="656"/>
      <c r="I38" s="106"/>
      <c r="J38" s="104" t="s">
        <v>308</v>
      </c>
      <c r="K38" s="445">
        <f>'다. 세출결산'!D139</f>
        <v>102039</v>
      </c>
      <c r="L38" s="291">
        <f>'다. 세출결산'!E139</f>
        <v>0</v>
      </c>
      <c r="M38" s="292">
        <f t="shared" si="12"/>
        <v>-102039</v>
      </c>
      <c r="N38" s="300">
        <f t="shared" si="13"/>
        <v>-100</v>
      </c>
      <c r="O38" s="11"/>
    </row>
    <row r="39" spans="1:17" ht="17.25" customHeight="1">
      <c r="A39" s="651"/>
      <c r="B39" s="651"/>
      <c r="C39" s="651"/>
      <c r="D39" s="649"/>
      <c r="E39" s="652"/>
      <c r="F39" s="652"/>
      <c r="G39" s="654"/>
      <c r="H39" s="660" t="s">
        <v>167</v>
      </c>
      <c r="I39" s="107" t="s">
        <v>310</v>
      </c>
      <c r="J39" s="103"/>
      <c r="K39" s="250">
        <f>K40</f>
        <v>4084781</v>
      </c>
      <c r="L39" s="250">
        <f>L40</f>
        <v>4084781</v>
      </c>
      <c r="M39" s="293">
        <f t="shared" si="12"/>
        <v>0</v>
      </c>
      <c r="N39" s="301">
        <f t="shared" si="13"/>
        <v>0</v>
      </c>
      <c r="O39" s="11"/>
    </row>
    <row r="40" spans="1:17" ht="17.25" customHeight="1">
      <c r="A40" s="651"/>
      <c r="B40" s="651"/>
      <c r="C40" s="651"/>
      <c r="D40" s="649"/>
      <c r="E40" s="649"/>
      <c r="F40" s="652"/>
      <c r="G40" s="654"/>
      <c r="H40" s="656"/>
      <c r="I40" s="659" t="s">
        <v>167</v>
      </c>
      <c r="J40" s="100" t="s">
        <v>267</v>
      </c>
      <c r="K40" s="188">
        <f>SUM(K41)</f>
        <v>4084781</v>
      </c>
      <c r="L40" s="188">
        <f>SUM(L41)</f>
        <v>4084781</v>
      </c>
      <c r="M40" s="290">
        <f t="shared" si="12"/>
        <v>0</v>
      </c>
      <c r="N40" s="299">
        <f t="shared" si="13"/>
        <v>0</v>
      </c>
      <c r="O40" s="11"/>
    </row>
    <row r="41" spans="1:17" ht="17.25" customHeight="1">
      <c r="A41" s="87"/>
      <c r="B41" s="87"/>
      <c r="C41" s="87"/>
      <c r="D41" s="88"/>
      <c r="F41" s="88"/>
      <c r="G41" s="168"/>
      <c r="H41" s="441"/>
      <c r="I41" s="106"/>
      <c r="J41" s="104" t="s">
        <v>273</v>
      </c>
      <c r="K41" s="445">
        <f>'다. 세출결산'!D143</f>
        <v>4084781</v>
      </c>
      <c r="L41" s="175">
        <f>'다. 세출결산'!E143</f>
        <v>4084781</v>
      </c>
      <c r="M41" s="292">
        <f t="shared" si="12"/>
        <v>0</v>
      </c>
      <c r="N41" s="300">
        <v>0</v>
      </c>
    </row>
    <row r="42" spans="1:17" ht="17.25" customHeight="1">
      <c r="A42" s="87"/>
      <c r="B42" s="87"/>
      <c r="C42" s="87"/>
      <c r="D42" s="88"/>
      <c r="F42" s="88"/>
      <c r="G42" s="168"/>
      <c r="H42" s="172"/>
      <c r="I42" s="442" t="s">
        <v>111</v>
      </c>
      <c r="J42" s="443"/>
      <c r="K42" s="446">
        <f>'다. 세출결산'!D144</f>
        <v>0</v>
      </c>
      <c r="L42" s="446">
        <f>'다. 세출결산'!E144</f>
        <v>13603816</v>
      </c>
      <c r="M42" s="444">
        <f>L42-K42</f>
        <v>13603816</v>
      </c>
      <c r="N42" s="873">
        <v>0</v>
      </c>
    </row>
  </sheetData>
  <mergeCells count="16"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41" type="noConversion"/>
  <printOptions horizontalCentered="1"/>
  <pageMargins left="0.47236111760139465" right="0.35430556535720825" top="0.59041666984558105" bottom="0.51180553436279297" header="0.62986111640930176" footer="0.35430556535720825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FF"/>
    <pageSetUpPr fitToPage="1"/>
  </sheetPr>
  <dimension ref="A1:P39"/>
  <sheetViews>
    <sheetView tabSelected="1" view="pageBreakPreview" zoomScale="110" zoomScaleNormal="100" zoomScaleSheetLayoutView="110" workbookViewId="0">
      <selection activeCell="K9" sqref="K9"/>
    </sheetView>
  </sheetViews>
  <sheetFormatPr defaultColWidth="9" defaultRowHeight="12.95" customHeight="1"/>
  <cols>
    <col min="1" max="2" width="10.375" style="87" customWidth="1"/>
    <col min="3" max="3" width="17.5" style="87" customWidth="1"/>
    <col min="4" max="4" width="13.75" style="149" customWidth="1"/>
    <col min="5" max="5" width="13.75" style="150" customWidth="1"/>
    <col min="6" max="6" width="12.125" style="151" customWidth="1"/>
    <col min="7" max="7" width="10.125" style="150" customWidth="1"/>
    <col min="8" max="8" width="15.125" style="89" customWidth="1"/>
    <col min="9" max="9" width="36.375" style="90" customWidth="1"/>
    <col min="10" max="10" width="25" style="90" customWidth="1"/>
    <col min="11" max="11" width="13" style="90" customWidth="1"/>
    <col min="12" max="12" width="13.5" style="91" customWidth="1"/>
    <col min="13" max="16" width="11.875" style="91" customWidth="1"/>
    <col min="17" max="16384" width="9" style="91"/>
  </cols>
  <sheetData>
    <row r="1" spans="1:15" ht="12" customHeight="1"/>
    <row r="2" spans="1:15" ht="27.75" customHeight="1">
      <c r="A2" s="937" t="s">
        <v>61</v>
      </c>
      <c r="B2" s="937"/>
      <c r="C2" s="937"/>
      <c r="D2" s="937"/>
      <c r="E2" s="937"/>
      <c r="F2" s="937"/>
      <c r="G2" s="937"/>
      <c r="H2" s="937"/>
      <c r="I2" s="937"/>
      <c r="J2" s="937"/>
      <c r="K2" s="92"/>
    </row>
    <row r="3" spans="1:15" ht="14.25" customHeight="1">
      <c r="A3" s="93"/>
      <c r="B3" s="93"/>
      <c r="C3" s="93"/>
      <c r="D3" s="152"/>
      <c r="E3" s="152"/>
      <c r="F3" s="152"/>
      <c r="G3" s="152"/>
      <c r="H3" s="93"/>
      <c r="I3" s="93"/>
      <c r="J3" s="94" t="s">
        <v>369</v>
      </c>
      <c r="K3" s="95"/>
    </row>
    <row r="4" spans="1:15" s="88" customFormat="1" ht="14.25" customHeight="1">
      <c r="A4" s="941" t="s">
        <v>394</v>
      </c>
      <c r="B4" s="941"/>
      <c r="C4" s="941"/>
      <c r="D4" s="911" t="s">
        <v>11</v>
      </c>
      <c r="E4" s="911" t="s">
        <v>55</v>
      </c>
      <c r="F4" s="929" t="s">
        <v>58</v>
      </c>
      <c r="G4" s="966" t="s">
        <v>24</v>
      </c>
      <c r="H4" s="942" t="s">
        <v>47</v>
      </c>
      <c r="I4" s="943"/>
      <c r="J4" s="944"/>
      <c r="K4" s="87"/>
      <c r="O4" s="91"/>
    </row>
    <row r="5" spans="1:15" s="88" customFormat="1" ht="14.25" customHeight="1">
      <c r="A5" s="96" t="s">
        <v>261</v>
      </c>
      <c r="B5" s="896" t="s">
        <v>254</v>
      </c>
      <c r="C5" s="96" t="s">
        <v>259</v>
      </c>
      <c r="D5" s="912"/>
      <c r="E5" s="912"/>
      <c r="F5" s="930"/>
      <c r="G5" s="967"/>
      <c r="H5" s="945"/>
      <c r="I5" s="946"/>
      <c r="J5" s="947"/>
      <c r="K5" s="87"/>
      <c r="O5" s="91"/>
    </row>
    <row r="6" spans="1:15" s="88" customFormat="1" ht="22.7" customHeight="1">
      <c r="A6" s="938" t="s">
        <v>15</v>
      </c>
      <c r="B6" s="939"/>
      <c r="C6" s="940"/>
      <c r="D6" s="73">
        <f>SUM(D7+D10+D13+D16+D21+D25+D28+D33)</f>
        <v>122457000</v>
      </c>
      <c r="E6" s="73">
        <f t="shared" ref="E6:F6" si="0">SUM(E7+E10+E13+E16+E21+E25+E28+E33)</f>
        <v>114074217</v>
      </c>
      <c r="F6" s="73">
        <f t="shared" si="0"/>
        <v>-8382783</v>
      </c>
      <c r="G6" s="273">
        <f t="shared" ref="G6:G34" si="1">F6/D6*100</f>
        <v>-6.8454910703348926</v>
      </c>
      <c r="H6" s="948"/>
      <c r="I6" s="949"/>
      <c r="J6" s="950"/>
      <c r="K6" s="97"/>
      <c r="O6" s="91"/>
    </row>
    <row r="7" spans="1:15" s="88" customFormat="1" ht="17.25" customHeight="1">
      <c r="A7" s="880" t="s">
        <v>200</v>
      </c>
      <c r="B7" s="881" t="s">
        <v>310</v>
      </c>
      <c r="C7" s="881"/>
      <c r="D7" s="74">
        <f>D8</f>
        <v>18800000</v>
      </c>
      <c r="E7" s="74">
        <f>E8</f>
        <v>10700000</v>
      </c>
      <c r="F7" s="74">
        <f t="shared" ref="F7:F39" si="2">E7-D7</f>
        <v>-8100000</v>
      </c>
      <c r="G7" s="274">
        <f t="shared" si="1"/>
        <v>-43.085106382978722</v>
      </c>
      <c r="H7" s="963"/>
      <c r="I7" s="964"/>
      <c r="J7" s="965"/>
      <c r="K7" s="98"/>
      <c r="L7" s="99"/>
      <c r="O7" s="91"/>
    </row>
    <row r="8" spans="1:15" s="88" customFormat="1" ht="17.25" customHeight="1">
      <c r="A8" s="882"/>
      <c r="B8" s="132" t="s">
        <v>226</v>
      </c>
      <c r="C8" s="132" t="s">
        <v>267</v>
      </c>
      <c r="D8" s="75">
        <f>SUM(D9)</f>
        <v>18800000</v>
      </c>
      <c r="E8" s="75">
        <f>E9</f>
        <v>10700000</v>
      </c>
      <c r="F8" s="75">
        <f t="shared" si="2"/>
        <v>-8100000</v>
      </c>
      <c r="G8" s="275">
        <f>F8/D8*100</f>
        <v>-43.085106382978722</v>
      </c>
      <c r="H8" s="951"/>
      <c r="I8" s="952"/>
      <c r="J8" s="953"/>
      <c r="K8" s="98"/>
      <c r="O8" s="91"/>
    </row>
    <row r="9" spans="1:15" ht="71.099999999999994" customHeight="1">
      <c r="A9" s="882"/>
      <c r="B9" s="761"/>
      <c r="C9" s="761" t="s">
        <v>226</v>
      </c>
      <c r="D9" s="76">
        <v>18800000</v>
      </c>
      <c r="E9" s="153">
        <v>10700000</v>
      </c>
      <c r="F9" s="153">
        <f t="shared" si="2"/>
        <v>-8100000</v>
      </c>
      <c r="G9" s="276">
        <f t="shared" si="1"/>
        <v>-43.085106382978722</v>
      </c>
      <c r="H9" s="931" t="s">
        <v>401</v>
      </c>
      <c r="I9" s="932"/>
      <c r="J9" s="933"/>
      <c r="K9" s="102"/>
    </row>
    <row r="10" spans="1:15" s="88" customFormat="1" ht="17.25" hidden="1" customHeight="1">
      <c r="A10" s="883" t="s">
        <v>96</v>
      </c>
      <c r="B10" s="136" t="s">
        <v>310</v>
      </c>
      <c r="C10" s="136"/>
      <c r="D10" s="77">
        <f>D11</f>
        <v>0</v>
      </c>
      <c r="E10" s="77">
        <f t="shared" ref="E10:F10" si="3">E11</f>
        <v>0</v>
      </c>
      <c r="F10" s="77">
        <f t="shared" si="3"/>
        <v>0</v>
      </c>
      <c r="G10" s="277">
        <v>0</v>
      </c>
      <c r="H10" s="934"/>
      <c r="I10" s="935"/>
      <c r="J10" s="936"/>
      <c r="K10" s="102"/>
      <c r="O10" s="91"/>
    </row>
    <row r="11" spans="1:15" s="88" customFormat="1" ht="17.25" hidden="1" customHeight="1">
      <c r="A11" s="882"/>
      <c r="B11" s="132" t="s">
        <v>96</v>
      </c>
      <c r="C11" s="132" t="s">
        <v>267</v>
      </c>
      <c r="D11" s="78">
        <f>SUM(D12)</f>
        <v>0</v>
      </c>
      <c r="E11" s="75">
        <f>E12</f>
        <v>0</v>
      </c>
      <c r="F11" s="75">
        <f t="shared" si="2"/>
        <v>0</v>
      </c>
      <c r="G11" s="275">
        <v>0</v>
      </c>
      <c r="H11" s="968"/>
      <c r="I11" s="969"/>
      <c r="J11" s="970"/>
      <c r="K11" s="102"/>
      <c r="O11" s="91"/>
    </row>
    <row r="12" spans="1:15" s="88" customFormat="1" ht="17.25" hidden="1" customHeight="1">
      <c r="A12" s="882"/>
      <c r="B12" s="761"/>
      <c r="C12" s="761" t="s">
        <v>51</v>
      </c>
      <c r="D12" s="76">
        <v>0</v>
      </c>
      <c r="E12" s="153">
        <v>0</v>
      </c>
      <c r="F12" s="153">
        <f t="shared" si="2"/>
        <v>0</v>
      </c>
      <c r="G12" s="276">
        <v>0</v>
      </c>
      <c r="H12" s="971"/>
      <c r="I12" s="972"/>
      <c r="J12" s="973"/>
      <c r="K12" s="102"/>
      <c r="O12" s="91"/>
    </row>
    <row r="13" spans="1:15" ht="17.25" hidden="1" customHeight="1">
      <c r="A13" s="883" t="s">
        <v>198</v>
      </c>
      <c r="B13" s="136" t="s">
        <v>310</v>
      </c>
      <c r="C13" s="136"/>
      <c r="D13" s="77">
        <f>D14</f>
        <v>0</v>
      </c>
      <c r="E13" s="80">
        <f>E14</f>
        <v>0</v>
      </c>
      <c r="F13" s="80">
        <f t="shared" si="2"/>
        <v>0</v>
      </c>
      <c r="G13" s="277">
        <v>0</v>
      </c>
      <c r="H13" s="934"/>
      <c r="I13" s="935"/>
      <c r="J13" s="936"/>
      <c r="K13" s="102"/>
    </row>
    <row r="14" spans="1:15" ht="17.25" hidden="1" customHeight="1">
      <c r="A14" s="882"/>
      <c r="B14" s="132" t="s">
        <v>198</v>
      </c>
      <c r="C14" s="132" t="s">
        <v>267</v>
      </c>
      <c r="D14" s="78">
        <f>SUM(D15)</f>
        <v>0</v>
      </c>
      <c r="E14" s="78">
        <f t="shared" ref="E14:F14" si="4">SUM(E15)</f>
        <v>0</v>
      </c>
      <c r="F14" s="78">
        <f t="shared" si="4"/>
        <v>0</v>
      </c>
      <c r="G14" s="275">
        <v>0</v>
      </c>
      <c r="H14" s="968"/>
      <c r="I14" s="969"/>
      <c r="J14" s="970"/>
      <c r="K14" s="102"/>
    </row>
    <row r="15" spans="1:15" s="88" customFormat="1" ht="0" hidden="1" customHeight="1">
      <c r="A15" s="882"/>
      <c r="B15" s="761"/>
      <c r="C15" s="761" t="s">
        <v>198</v>
      </c>
      <c r="D15" s="76">
        <v>0</v>
      </c>
      <c r="E15" s="153">
        <v>0</v>
      </c>
      <c r="F15" s="153">
        <f t="shared" si="2"/>
        <v>0</v>
      </c>
      <c r="G15" s="276">
        <v>0</v>
      </c>
      <c r="H15" s="974"/>
      <c r="I15" s="975"/>
      <c r="J15" s="976"/>
      <c r="K15" s="102"/>
      <c r="O15" s="91"/>
    </row>
    <row r="16" spans="1:15" ht="17.25" customHeight="1">
      <c r="A16" s="883" t="s">
        <v>246</v>
      </c>
      <c r="B16" s="136" t="s">
        <v>310</v>
      </c>
      <c r="C16" s="136"/>
      <c r="D16" s="77">
        <f>D17</f>
        <v>96405180</v>
      </c>
      <c r="E16" s="77">
        <f t="shared" ref="E16:F16" si="5">E17</f>
        <v>96262500</v>
      </c>
      <c r="F16" s="77">
        <f t="shared" si="5"/>
        <v>-142680</v>
      </c>
      <c r="G16" s="277">
        <f t="shared" si="1"/>
        <v>-0.14800034603949705</v>
      </c>
      <c r="H16" s="957"/>
      <c r="I16" s="958"/>
      <c r="J16" s="959"/>
    </row>
    <row r="17" spans="1:16" ht="17.25" customHeight="1">
      <c r="A17" s="882"/>
      <c r="B17" s="132" t="s">
        <v>246</v>
      </c>
      <c r="C17" s="132" t="s">
        <v>267</v>
      </c>
      <c r="D17" s="78">
        <f>SUM(D18:D20)</f>
        <v>96405180</v>
      </c>
      <c r="E17" s="78">
        <f t="shared" ref="E17:F17" si="6">SUM(E18:E20)</f>
        <v>96262500</v>
      </c>
      <c r="F17" s="78">
        <f t="shared" si="6"/>
        <v>-142680</v>
      </c>
      <c r="G17" s="275">
        <f>F17/D17*100</f>
        <v>-0.14800034603949705</v>
      </c>
      <c r="H17" s="960"/>
      <c r="I17" s="961"/>
      <c r="J17" s="962"/>
    </row>
    <row r="18" spans="1:16" ht="41.25" customHeight="1">
      <c r="A18" s="128"/>
      <c r="B18" s="325"/>
      <c r="C18" s="330" t="s">
        <v>204</v>
      </c>
      <c r="D18" s="79">
        <v>96405180</v>
      </c>
      <c r="E18" s="153">
        <v>96262500</v>
      </c>
      <c r="F18" s="82">
        <f t="shared" si="2"/>
        <v>-142680</v>
      </c>
      <c r="G18" s="278">
        <f>F18/D18*100</f>
        <v>-0.14800034603949705</v>
      </c>
      <c r="H18" s="977" t="s">
        <v>402</v>
      </c>
      <c r="I18" s="978"/>
      <c r="J18" s="979"/>
    </row>
    <row r="19" spans="1:16" ht="17.25" hidden="1" customHeight="1">
      <c r="A19" s="128"/>
      <c r="B19" s="325"/>
      <c r="C19" s="330" t="s">
        <v>118</v>
      </c>
      <c r="D19" s="79">
        <v>0</v>
      </c>
      <c r="E19" s="153">
        <v>0</v>
      </c>
      <c r="F19" s="82">
        <f t="shared" si="2"/>
        <v>0</v>
      </c>
      <c r="G19" s="278">
        <v>0</v>
      </c>
      <c r="H19" s="954"/>
      <c r="I19" s="955"/>
      <c r="J19" s="956"/>
      <c r="K19" s="105"/>
      <c r="L19" s="105"/>
      <c r="M19" s="105"/>
      <c r="N19" s="105"/>
      <c r="O19" s="105"/>
      <c r="P19" s="105"/>
    </row>
    <row r="20" spans="1:16" ht="17.25" hidden="1" customHeight="1">
      <c r="A20" s="128"/>
      <c r="B20" s="325"/>
      <c r="C20" s="325" t="s">
        <v>224</v>
      </c>
      <c r="D20" s="79">
        <v>0</v>
      </c>
      <c r="E20" s="153">
        <v>0</v>
      </c>
      <c r="F20" s="82">
        <f t="shared" si="2"/>
        <v>0</v>
      </c>
      <c r="G20" s="278">
        <v>0</v>
      </c>
      <c r="H20" s="954"/>
      <c r="I20" s="955"/>
      <c r="J20" s="956"/>
      <c r="K20" s="105"/>
      <c r="L20" s="105"/>
      <c r="M20" s="105"/>
      <c r="N20" s="105"/>
      <c r="O20" s="105"/>
      <c r="P20" s="105"/>
    </row>
    <row r="21" spans="1:16" ht="17.25" customHeight="1">
      <c r="A21" s="883" t="s">
        <v>285</v>
      </c>
      <c r="B21" s="136" t="s">
        <v>310</v>
      </c>
      <c r="C21" s="135"/>
      <c r="D21" s="80">
        <f>D22</f>
        <v>0</v>
      </c>
      <c r="E21" s="80">
        <f>E22</f>
        <v>0</v>
      </c>
      <c r="F21" s="80">
        <f t="shared" si="2"/>
        <v>0</v>
      </c>
      <c r="G21" s="277" t="e">
        <f t="shared" ref="G21:G27" si="7">F21/D21*100</f>
        <v>#DIV/0!</v>
      </c>
      <c r="H21" s="957"/>
      <c r="I21" s="958"/>
      <c r="J21" s="959"/>
    </row>
    <row r="22" spans="1:16" ht="17.25" customHeight="1">
      <c r="A22" s="818"/>
      <c r="B22" s="132" t="s">
        <v>85</v>
      </c>
      <c r="C22" s="132" t="s">
        <v>267</v>
      </c>
      <c r="D22" s="75">
        <f>SUM(D23:D24)</f>
        <v>0</v>
      </c>
      <c r="E22" s="75">
        <f>SUM(E23:E24)</f>
        <v>0</v>
      </c>
      <c r="F22" s="75">
        <f t="shared" si="2"/>
        <v>0</v>
      </c>
      <c r="G22" s="275" t="e">
        <f t="shared" si="7"/>
        <v>#DIV/0!</v>
      </c>
      <c r="H22" s="960"/>
      <c r="I22" s="961"/>
      <c r="J22" s="962"/>
    </row>
    <row r="23" spans="1:16" ht="17.25" customHeight="1">
      <c r="A23" s="884"/>
      <c r="B23" s="885"/>
      <c r="C23" s="325" t="s">
        <v>88</v>
      </c>
      <c r="D23" s="81">
        <v>0</v>
      </c>
      <c r="E23" s="153">
        <v>0</v>
      </c>
      <c r="F23" s="82">
        <f t="shared" si="2"/>
        <v>0</v>
      </c>
      <c r="G23" s="278" t="e">
        <f t="shared" si="7"/>
        <v>#DIV/0!</v>
      </c>
      <c r="H23" s="980"/>
      <c r="I23" s="955"/>
      <c r="J23" s="956"/>
    </row>
    <row r="24" spans="1:16" ht="17.25" customHeight="1">
      <c r="A24" s="818"/>
      <c r="B24" s="330"/>
      <c r="C24" s="330" t="s">
        <v>93</v>
      </c>
      <c r="D24" s="79">
        <v>0</v>
      </c>
      <c r="E24" s="153">
        <v>0</v>
      </c>
      <c r="F24" s="82">
        <f t="shared" si="2"/>
        <v>0</v>
      </c>
      <c r="G24" s="278" t="e">
        <f t="shared" si="7"/>
        <v>#DIV/0!</v>
      </c>
      <c r="H24" s="980"/>
      <c r="I24" s="984"/>
      <c r="J24" s="985"/>
    </row>
    <row r="25" spans="1:16" ht="17.25" customHeight="1">
      <c r="A25" s="883" t="s">
        <v>291</v>
      </c>
      <c r="B25" s="136" t="s">
        <v>310</v>
      </c>
      <c r="C25" s="136"/>
      <c r="D25" s="80">
        <f>D26</f>
        <v>0</v>
      </c>
      <c r="E25" s="80">
        <f>E26</f>
        <v>0</v>
      </c>
      <c r="F25" s="80">
        <f t="shared" si="2"/>
        <v>0</v>
      </c>
      <c r="G25" s="277" t="e">
        <f t="shared" si="7"/>
        <v>#DIV/0!</v>
      </c>
      <c r="H25" s="957"/>
      <c r="I25" s="958"/>
      <c r="J25" s="959"/>
    </row>
    <row r="26" spans="1:16" ht="17.25" customHeight="1">
      <c r="A26" s="818"/>
      <c r="B26" s="132" t="s">
        <v>291</v>
      </c>
      <c r="C26" s="132" t="s">
        <v>267</v>
      </c>
      <c r="D26" s="75">
        <f>SUM(D27)</f>
        <v>0</v>
      </c>
      <c r="E26" s="75">
        <f>E27</f>
        <v>0</v>
      </c>
      <c r="F26" s="75">
        <f t="shared" si="2"/>
        <v>0</v>
      </c>
      <c r="G26" s="275" t="e">
        <f t="shared" si="7"/>
        <v>#DIV/0!</v>
      </c>
      <c r="H26" s="960"/>
      <c r="I26" s="961"/>
      <c r="J26" s="962"/>
    </row>
    <row r="27" spans="1:16" ht="17.25" customHeight="1">
      <c r="A27" s="818"/>
      <c r="B27" s="330"/>
      <c r="C27" s="330" t="s">
        <v>92</v>
      </c>
      <c r="D27" s="82">
        <v>0</v>
      </c>
      <c r="E27" s="153">
        <v>0</v>
      </c>
      <c r="F27" s="82">
        <f t="shared" si="2"/>
        <v>0</v>
      </c>
      <c r="G27" s="278" t="e">
        <f t="shared" si="7"/>
        <v>#DIV/0!</v>
      </c>
      <c r="H27" s="980"/>
      <c r="I27" s="981"/>
      <c r="J27" s="982"/>
    </row>
    <row r="28" spans="1:16" ht="17.25" customHeight="1">
      <c r="A28" s="883" t="s">
        <v>289</v>
      </c>
      <c r="B28" s="136" t="s">
        <v>310</v>
      </c>
      <c r="C28" s="136"/>
      <c r="D28" s="80">
        <f>D29</f>
        <v>7096842</v>
      </c>
      <c r="E28" s="80">
        <f>E29</f>
        <v>7096842</v>
      </c>
      <c r="F28" s="80">
        <f t="shared" si="2"/>
        <v>0</v>
      </c>
      <c r="G28" s="277">
        <f t="shared" si="1"/>
        <v>0</v>
      </c>
      <c r="H28" s="364"/>
      <c r="I28" s="366"/>
      <c r="J28" s="367"/>
    </row>
    <row r="29" spans="1:16" ht="17.25" customHeight="1">
      <c r="A29" s="818"/>
      <c r="B29" s="132" t="s">
        <v>289</v>
      </c>
      <c r="C29" s="132" t="s">
        <v>267</v>
      </c>
      <c r="D29" s="75">
        <f>SUM(D30:D32)</f>
        <v>7096842</v>
      </c>
      <c r="E29" s="75">
        <f>SUM(E30:E32)</f>
        <v>7096842</v>
      </c>
      <c r="F29" s="75">
        <f t="shared" si="2"/>
        <v>0</v>
      </c>
      <c r="G29" s="275">
        <f t="shared" si="1"/>
        <v>0</v>
      </c>
      <c r="H29" s="365"/>
      <c r="I29" s="368"/>
      <c r="J29" s="369"/>
    </row>
    <row r="30" spans="1:16" ht="17.25" customHeight="1">
      <c r="A30" s="818"/>
      <c r="B30" s="330"/>
      <c r="C30" s="330" t="s">
        <v>353</v>
      </c>
      <c r="D30" s="82">
        <v>3012061</v>
      </c>
      <c r="E30" s="153">
        <v>3012061</v>
      </c>
      <c r="F30" s="82">
        <f t="shared" si="2"/>
        <v>0</v>
      </c>
      <c r="G30" s="278">
        <f>F30/D30*100</f>
        <v>0</v>
      </c>
      <c r="H30" s="983" t="s">
        <v>1</v>
      </c>
      <c r="I30" s="984"/>
      <c r="J30" s="985"/>
    </row>
    <row r="31" spans="1:16" ht="17.25" customHeight="1">
      <c r="A31" s="128"/>
      <c r="B31" s="325"/>
      <c r="C31" s="325" t="s">
        <v>384</v>
      </c>
      <c r="D31" s="83">
        <v>0</v>
      </c>
      <c r="E31" s="153">
        <v>0</v>
      </c>
      <c r="F31" s="154">
        <f t="shared" si="2"/>
        <v>0</v>
      </c>
      <c r="G31" s="886" t="e">
        <f>F31/D31*100</f>
        <v>#DIV/0!</v>
      </c>
      <c r="H31" s="995"/>
      <c r="I31" s="996"/>
      <c r="J31" s="370"/>
    </row>
    <row r="32" spans="1:16" ht="17.25" customHeight="1">
      <c r="A32" s="128"/>
      <c r="B32" s="325"/>
      <c r="C32" s="330" t="s">
        <v>325</v>
      </c>
      <c r="D32" s="83">
        <v>4084781</v>
      </c>
      <c r="E32" s="153">
        <v>4084781</v>
      </c>
      <c r="F32" s="154">
        <f t="shared" si="2"/>
        <v>0</v>
      </c>
      <c r="G32" s="279">
        <f>F32/D32*100</f>
        <v>0</v>
      </c>
      <c r="H32" s="983" t="s">
        <v>0</v>
      </c>
      <c r="I32" s="984"/>
      <c r="J32" s="985"/>
    </row>
    <row r="33" spans="1:11" ht="17.25" customHeight="1">
      <c r="A33" s="134" t="s">
        <v>318</v>
      </c>
      <c r="B33" s="135" t="s">
        <v>310</v>
      </c>
      <c r="C33" s="135"/>
      <c r="D33" s="84">
        <f>D34</f>
        <v>154978</v>
      </c>
      <c r="E33" s="80">
        <f>E34</f>
        <v>14875</v>
      </c>
      <c r="F33" s="155">
        <f t="shared" si="2"/>
        <v>-140103</v>
      </c>
      <c r="G33" s="280">
        <f t="shared" si="1"/>
        <v>-90.401863490301849</v>
      </c>
      <c r="H33" s="989"/>
      <c r="I33" s="990"/>
      <c r="J33" s="991"/>
    </row>
    <row r="34" spans="1:11" ht="17.25" customHeight="1">
      <c r="A34" s="128"/>
      <c r="B34" s="131" t="s">
        <v>318</v>
      </c>
      <c r="C34" s="131" t="s">
        <v>267</v>
      </c>
      <c r="D34" s="85">
        <f>SUM(D35:D39)</f>
        <v>154978</v>
      </c>
      <c r="E34" s="75">
        <f>SUM(E35:E39)</f>
        <v>14875</v>
      </c>
      <c r="F34" s="156">
        <f t="shared" si="2"/>
        <v>-140103</v>
      </c>
      <c r="G34" s="281">
        <f t="shared" si="1"/>
        <v>-90.401863490301849</v>
      </c>
      <c r="H34" s="992"/>
      <c r="I34" s="993"/>
      <c r="J34" s="994"/>
    </row>
    <row r="35" spans="1:11" ht="17.25" hidden="1" customHeight="1">
      <c r="A35" s="128"/>
      <c r="B35" s="325"/>
      <c r="C35" s="325" t="s">
        <v>101</v>
      </c>
      <c r="D35" s="83">
        <v>0</v>
      </c>
      <c r="E35" s="153">
        <v>0</v>
      </c>
      <c r="F35" s="154">
        <f t="shared" si="2"/>
        <v>0</v>
      </c>
      <c r="G35" s="279">
        <v>0</v>
      </c>
      <c r="H35" s="983"/>
      <c r="I35" s="984"/>
      <c r="J35" s="985"/>
    </row>
    <row r="36" spans="1:11" s="1" customFormat="1" ht="17.25" customHeight="1">
      <c r="A36" s="128"/>
      <c r="B36" s="325"/>
      <c r="C36" s="325" t="s">
        <v>175</v>
      </c>
      <c r="D36" s="83">
        <v>60000</v>
      </c>
      <c r="E36" s="153">
        <v>0</v>
      </c>
      <c r="F36" s="154">
        <f t="shared" si="2"/>
        <v>-60000</v>
      </c>
      <c r="G36" s="279">
        <f>F36/D36*100</f>
        <v>-100</v>
      </c>
      <c r="H36" s="739"/>
      <c r="I36" s="740"/>
      <c r="J36" s="741"/>
      <c r="K36" s="3"/>
    </row>
    <row r="37" spans="1:11" s="1" customFormat="1" ht="17.25" customHeight="1">
      <c r="A37" s="128"/>
      <c r="B37" s="325"/>
      <c r="C37" s="325" t="s">
        <v>332</v>
      </c>
      <c r="D37" s="83">
        <v>84978</v>
      </c>
      <c r="E37" s="153">
        <v>14874</v>
      </c>
      <c r="F37" s="326">
        <f t="shared" si="2"/>
        <v>-70104</v>
      </c>
      <c r="G37" s="279">
        <f t="shared" ref="G37:G38" si="8">F37/D37*100</f>
        <v>-82.49664619077879</v>
      </c>
      <c r="H37" s="983" t="s">
        <v>74</v>
      </c>
      <c r="I37" s="984"/>
      <c r="J37" s="985"/>
      <c r="K37" s="3"/>
    </row>
    <row r="38" spans="1:11" ht="17.25" customHeight="1">
      <c r="A38" s="893"/>
      <c r="B38" s="894"/>
      <c r="C38" s="894" t="s">
        <v>238</v>
      </c>
      <c r="D38" s="86">
        <v>10000</v>
      </c>
      <c r="E38" s="895">
        <v>1</v>
      </c>
      <c r="F38" s="157">
        <f t="shared" si="2"/>
        <v>-9999</v>
      </c>
      <c r="G38" s="282">
        <f t="shared" si="8"/>
        <v>-99.99</v>
      </c>
      <c r="H38" s="997" t="s">
        <v>398</v>
      </c>
      <c r="I38" s="998"/>
      <c r="J38" s="999"/>
    </row>
    <row r="39" spans="1:11" ht="17.25" hidden="1" customHeight="1">
      <c r="A39" s="887"/>
      <c r="B39" s="888"/>
      <c r="C39" s="888" t="s">
        <v>238</v>
      </c>
      <c r="D39" s="889">
        <v>0</v>
      </c>
      <c r="E39" s="890">
        <v>0</v>
      </c>
      <c r="F39" s="891">
        <f t="shared" si="2"/>
        <v>0</v>
      </c>
      <c r="G39" s="892">
        <v>0</v>
      </c>
      <c r="H39" s="986"/>
      <c r="I39" s="987"/>
      <c r="J39" s="988"/>
    </row>
  </sheetData>
  <mergeCells count="39">
    <mergeCell ref="H39:J39"/>
    <mergeCell ref="H33:J33"/>
    <mergeCell ref="H34:J34"/>
    <mergeCell ref="H31:I31"/>
    <mergeCell ref="H37:J37"/>
    <mergeCell ref="H38:J38"/>
    <mergeCell ref="H27:J27"/>
    <mergeCell ref="H32:J32"/>
    <mergeCell ref="H35:J35"/>
    <mergeCell ref="H23:J23"/>
    <mergeCell ref="H24:J24"/>
    <mergeCell ref="H25:J25"/>
    <mergeCell ref="H26:J26"/>
    <mergeCell ref="H30:J30"/>
    <mergeCell ref="H20:J20"/>
    <mergeCell ref="H21:J21"/>
    <mergeCell ref="H22:J22"/>
    <mergeCell ref="H7:J7"/>
    <mergeCell ref="G4:G5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F4:F5"/>
    <mergeCell ref="H9:J9"/>
    <mergeCell ref="H10:J10"/>
    <mergeCell ref="A2:J2"/>
    <mergeCell ref="A6:C6"/>
    <mergeCell ref="E4:E5"/>
    <mergeCell ref="A4:C4"/>
    <mergeCell ref="D4:D5"/>
    <mergeCell ref="H4:J5"/>
    <mergeCell ref="H6:J6"/>
    <mergeCell ref="H8:J8"/>
  </mergeCells>
  <phoneticPr fontId="41" type="noConversion"/>
  <printOptions horizontalCentered="1"/>
  <pageMargins left="0.39361110329627991" right="0.2361111044883728" top="0.59041666984558105" bottom="0.39361110329627991" header="0.51180553436279297" footer="0.51180553436279297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FF"/>
  </sheetPr>
  <dimension ref="A1:Y145"/>
  <sheetViews>
    <sheetView view="pageBreakPreview" zoomScale="95" zoomScaleNormal="100" zoomScaleSheetLayoutView="95" workbookViewId="0">
      <selection activeCell="A29" activeCellId="7" sqref="X4 A10:XFD10 A11:XFD11 A18:XFD18 A19:XFD19 A25:XFD25 A26:XFD26 A29:XFD29"/>
    </sheetView>
  </sheetViews>
  <sheetFormatPr defaultColWidth="9" defaultRowHeight="12.95" customHeight="1"/>
  <cols>
    <col min="1" max="1" width="10" style="4" customWidth="1"/>
    <col min="2" max="2" width="10.375" style="4" customWidth="1"/>
    <col min="3" max="3" width="15" style="5" customWidth="1"/>
    <col min="4" max="4" width="12.875" style="109" customWidth="1"/>
    <col min="5" max="5" width="13.5" style="146" customWidth="1"/>
    <col min="6" max="6" width="13.125" style="147" customWidth="1"/>
    <col min="7" max="7" width="9" style="125" customWidth="1"/>
    <col min="8" max="8" width="12.125" style="125" customWidth="1"/>
    <col min="9" max="9" width="0.125" style="125" customWidth="1"/>
    <col min="10" max="10" width="12.75" style="125" customWidth="1"/>
    <col min="11" max="11" width="0" style="125" hidden="1" customWidth="1"/>
    <col min="12" max="12" width="7.5" style="12" hidden="1" customWidth="1"/>
    <col min="13" max="13" width="11.125" style="20" customWidth="1"/>
    <col min="14" max="14" width="8.125" style="3" customWidth="1"/>
    <col min="15" max="15" width="12.375" style="3" bestFit="1" customWidth="1"/>
    <col min="16" max="16" width="4.75" style="3" customWidth="1"/>
    <col min="17" max="17" width="8.75" style="3" bestFit="1" customWidth="1"/>
    <col min="18" max="18" width="3.5" style="3" customWidth="1"/>
    <col min="19" max="19" width="3.75" style="3" customWidth="1"/>
    <col min="20" max="20" width="5.75" style="3" customWidth="1"/>
    <col min="21" max="21" width="6.625" style="3" customWidth="1"/>
    <col min="22" max="22" width="20.25" style="3" customWidth="1"/>
    <col min="23" max="23" width="14.375" style="13" bestFit="1" customWidth="1"/>
    <col min="24" max="24" width="16.875" style="13" customWidth="1"/>
    <col min="25" max="25" width="9" style="13"/>
    <col min="26" max="16384" width="9" style="1"/>
  </cols>
  <sheetData>
    <row r="1" spans="1:22" ht="12" customHeight="1"/>
    <row r="2" spans="1:22" ht="29.25" customHeight="1">
      <c r="A2" s="1029" t="s">
        <v>62</v>
      </c>
      <c r="B2" s="1029"/>
      <c r="C2" s="1029"/>
      <c r="D2" s="1029"/>
      <c r="E2" s="1029"/>
      <c r="F2" s="1029"/>
      <c r="G2" s="1029"/>
      <c r="H2" s="1029"/>
      <c r="I2" s="1029"/>
      <c r="J2" s="1029"/>
      <c r="K2" s="1029"/>
      <c r="L2" s="1029"/>
      <c r="M2" s="1029"/>
      <c r="N2" s="1029"/>
      <c r="O2" s="1029"/>
      <c r="P2" s="1029"/>
      <c r="Q2" s="1029"/>
      <c r="R2" s="1029"/>
      <c r="S2" s="1029"/>
      <c r="T2" s="1029"/>
      <c r="U2" s="1029"/>
      <c r="V2" s="1030"/>
    </row>
    <row r="3" spans="1:22" ht="15.75" customHeight="1">
      <c r="A3" s="63"/>
      <c r="B3" s="63"/>
      <c r="C3" s="64"/>
      <c r="D3" s="110"/>
      <c r="E3" s="110"/>
      <c r="F3" s="148"/>
      <c r="G3" s="126"/>
      <c r="H3" s="126"/>
      <c r="I3" s="126"/>
      <c r="J3" s="126"/>
      <c r="K3" s="126"/>
      <c r="L3" s="65"/>
      <c r="M3" s="66"/>
      <c r="N3" s="61"/>
      <c r="O3" s="338"/>
      <c r="P3" s="67"/>
      <c r="Q3" s="67"/>
      <c r="R3" s="67"/>
      <c r="S3" s="67"/>
      <c r="T3" s="67"/>
      <c r="U3" s="67"/>
      <c r="V3" s="68" t="s">
        <v>369</v>
      </c>
    </row>
    <row r="4" spans="1:22" ht="18.75" hidden="1" customHeight="1">
      <c r="A4" s="1031" t="s">
        <v>394</v>
      </c>
      <c r="B4" s="1032"/>
      <c r="C4" s="1032"/>
      <c r="D4" s="911" t="s">
        <v>11</v>
      </c>
      <c r="E4" s="911" t="s">
        <v>55</v>
      </c>
      <c r="F4" s="1033" t="s">
        <v>58</v>
      </c>
      <c r="G4" s="1035" t="s">
        <v>24</v>
      </c>
      <c r="H4" s="1043" t="s">
        <v>274</v>
      </c>
      <c r="I4" s="1044"/>
      <c r="J4" s="1044"/>
      <c r="K4" s="1045"/>
      <c r="L4" s="796"/>
      <c r="M4" s="1037" t="s">
        <v>57</v>
      </c>
      <c r="N4" s="1038"/>
      <c r="O4" s="1038"/>
      <c r="P4" s="1038"/>
      <c r="Q4" s="1038"/>
      <c r="R4" s="1038"/>
      <c r="S4" s="1038"/>
      <c r="T4" s="1038"/>
      <c r="U4" s="1038"/>
      <c r="V4" s="1039"/>
    </row>
    <row r="5" spans="1:22" ht="18.75" customHeight="1">
      <c r="A5" s="9" t="s">
        <v>261</v>
      </c>
      <c r="B5" s="7" t="s">
        <v>254</v>
      </c>
      <c r="C5" s="8" t="s">
        <v>259</v>
      </c>
      <c r="D5" s="912"/>
      <c r="E5" s="912"/>
      <c r="F5" s="1034"/>
      <c r="G5" s="1036"/>
      <c r="H5" s="405" t="s">
        <v>292</v>
      </c>
      <c r="I5" s="840" t="s">
        <v>92</v>
      </c>
      <c r="J5" s="127" t="s">
        <v>317</v>
      </c>
      <c r="K5" s="413" t="s">
        <v>285</v>
      </c>
      <c r="L5" s="797"/>
      <c r="M5" s="1040"/>
      <c r="N5" s="1041"/>
      <c r="O5" s="1041"/>
      <c r="P5" s="1041"/>
      <c r="Q5" s="1041"/>
      <c r="R5" s="1041"/>
      <c r="S5" s="1041"/>
      <c r="T5" s="1041"/>
      <c r="U5" s="1041"/>
      <c r="V5" s="1042"/>
    </row>
    <row r="6" spans="1:22" ht="22.5" customHeight="1">
      <c r="A6" s="1024" t="s">
        <v>15</v>
      </c>
      <c r="B6" s="1025"/>
      <c r="C6" s="1025"/>
      <c r="D6" s="111">
        <f>SUM(D7+D81+D96+D137+D140)</f>
        <v>122457000</v>
      </c>
      <c r="E6" s="111">
        <f ca="1">SUM(E7+E81+E96+E137+E140+E144)</f>
        <v>114074217</v>
      </c>
      <c r="F6" s="398">
        <f ca="1">E6-D6</f>
        <v>-8382783</v>
      </c>
      <c r="G6" s="421">
        <f ca="1">F6/D6*100</f>
        <v>-6.8454910703348926</v>
      </c>
      <c r="H6" s="849">
        <f>SUM(H7,H81,H96,H137,H140,H144)</f>
        <v>100361711</v>
      </c>
      <c r="I6" s="841" t="e">
        <f>SUM(I7,I81,I96,I137,I140,I144)</f>
        <v>#REF!</v>
      </c>
      <c r="J6" s="619">
        <f>SUM(J7,J81,J96,J137,J140,J144)</f>
        <v>13712506</v>
      </c>
      <c r="K6" s="414">
        <f>SUM(K7,K81,K96,K137,K140,K144)</f>
        <v>0</v>
      </c>
      <c r="L6" s="419"/>
      <c r="M6" s="1026">
        <f ca="1">SUM(V7,V81,V96,V137,V140,V144)</f>
        <v>114074217</v>
      </c>
      <c r="N6" s="1027"/>
      <c r="O6" s="1027"/>
      <c r="P6" s="1027"/>
      <c r="Q6" s="1027"/>
      <c r="R6" s="1027"/>
      <c r="S6" s="1027"/>
      <c r="T6" s="1027"/>
      <c r="U6" s="1027"/>
      <c r="V6" s="1028"/>
    </row>
    <row r="7" spans="1:22" ht="22.5" customHeight="1">
      <c r="A7" s="119" t="s">
        <v>268</v>
      </c>
      <c r="B7" s="120" t="s">
        <v>310</v>
      </c>
      <c r="C7" s="120"/>
      <c r="D7" s="121">
        <f>SUM(D8+D39+D48)</f>
        <v>94603180</v>
      </c>
      <c r="E7" s="121">
        <f ca="1">SUM(E8+E39+E48)</f>
        <v>84487840</v>
      </c>
      <c r="F7" s="399">
        <f ca="1">E7-D7</f>
        <v>-10115340</v>
      </c>
      <c r="G7" s="422">
        <f ca="1">F7/D7*100</f>
        <v>-10.692388987346938</v>
      </c>
      <c r="H7" s="850">
        <f>SUM(H8+H48)</f>
        <v>82063900</v>
      </c>
      <c r="I7" s="842">
        <f t="shared" ref="I7:K7" si="0">SUM(I8+I48)</f>
        <v>0</v>
      </c>
      <c r="J7" s="617">
        <f>SUM(J8+J39+J48)</f>
        <v>2423940</v>
      </c>
      <c r="K7" s="406">
        <f t="shared" si="0"/>
        <v>0</v>
      </c>
      <c r="L7" s="420"/>
      <c r="M7" s="807" t="s">
        <v>206</v>
      </c>
      <c r="N7" s="272"/>
      <c r="O7" s="339"/>
      <c r="P7" s="272"/>
      <c r="Q7" s="272"/>
      <c r="R7" s="272"/>
      <c r="S7" s="272"/>
      <c r="T7" s="272"/>
      <c r="U7" s="272"/>
      <c r="V7" s="307">
        <f ca="1">SUM(V8,V39,V48)</f>
        <v>84487840</v>
      </c>
    </row>
    <row r="8" spans="1:22" ht="22.5" customHeight="1">
      <c r="A8" s="114"/>
      <c r="B8" s="123" t="s">
        <v>306</v>
      </c>
      <c r="C8" s="123" t="s">
        <v>267</v>
      </c>
      <c r="D8" s="124">
        <f>SUM(D9+D14+D16+D28+D30+D36)</f>
        <v>84363180</v>
      </c>
      <c r="E8" s="124">
        <f>SUM(E9+E14+E16+E28+E30+E36)</f>
        <v>79253900</v>
      </c>
      <c r="F8" s="400">
        <f>E8-D8</f>
        <v>-5109280</v>
      </c>
      <c r="G8" s="423">
        <f>F8/D8*100</f>
        <v>-6.0562913820934678</v>
      </c>
      <c r="H8" s="407">
        <f>SUM(H9+H16+H28+H30)</f>
        <v>79253900</v>
      </c>
      <c r="I8" s="843">
        <f t="shared" ref="I8:K8" si="1">SUM(I9+I16+I28+I30)</f>
        <v>0</v>
      </c>
      <c r="J8" s="618">
        <f t="shared" si="1"/>
        <v>0</v>
      </c>
      <c r="K8" s="407">
        <f t="shared" si="1"/>
        <v>0</v>
      </c>
      <c r="L8" s="142"/>
      <c r="M8" s="808" t="s">
        <v>240</v>
      </c>
      <c r="N8" s="269"/>
      <c r="O8" s="340"/>
      <c r="P8" s="269"/>
      <c r="Q8" s="269"/>
      <c r="R8" s="269"/>
      <c r="S8" s="269"/>
      <c r="T8" s="269"/>
      <c r="U8" s="269"/>
      <c r="V8" s="308">
        <f>SUM(V9,V14,V16,V28,V30,V36)</f>
        <v>79253900</v>
      </c>
    </row>
    <row r="9" spans="1:22" ht="22.5" customHeight="1">
      <c r="A9" s="116"/>
      <c r="B9" s="117"/>
      <c r="C9" s="302" t="s">
        <v>262</v>
      </c>
      <c r="D9" s="303">
        <v>57176700</v>
      </c>
      <c r="E9" s="345">
        <f>V9</f>
        <v>57176700</v>
      </c>
      <c r="F9" s="401">
        <f t="shared" ref="F9:F51" si="2">E9-D9</f>
        <v>0</v>
      </c>
      <c r="G9" s="425">
        <f t="shared" ref="G9:G51" si="3">F9/D9*100</f>
        <v>0</v>
      </c>
      <c r="H9" s="409">
        <f>V9</f>
        <v>57176700</v>
      </c>
      <c r="I9" s="611">
        <f t="shared" ref="I9:J9" si="4">SUM(I10:I13)</f>
        <v>0</v>
      </c>
      <c r="J9" s="304">
        <f t="shared" si="4"/>
        <v>0</v>
      </c>
      <c r="K9" s="416">
        <v>0</v>
      </c>
      <c r="L9" s="305"/>
      <c r="M9" s="809" t="s">
        <v>80</v>
      </c>
      <c r="N9" s="306"/>
      <c r="O9" s="346"/>
      <c r="P9" s="306"/>
      <c r="Q9" s="306"/>
      <c r="R9" s="306"/>
      <c r="S9" s="306"/>
      <c r="T9" s="306"/>
      <c r="U9" s="306"/>
      <c r="V9" s="347">
        <f>SUM(V10:V13)</f>
        <v>57176700</v>
      </c>
    </row>
    <row r="10" spans="1:22" ht="22.5" hidden="1" customHeight="1">
      <c r="A10" s="116"/>
      <c r="B10" s="117"/>
      <c r="C10" s="117"/>
      <c r="D10" s="112"/>
      <c r="E10" s="267"/>
      <c r="F10" s="402"/>
      <c r="G10" s="424"/>
      <c r="H10" s="408">
        <v>0</v>
      </c>
      <c r="I10" s="612">
        <v>0</v>
      </c>
      <c r="J10" s="72">
        <v>0</v>
      </c>
      <c r="K10" s="415"/>
      <c r="L10" s="139"/>
      <c r="M10" s="810" t="s">
        <v>314</v>
      </c>
      <c r="N10" s="319" t="s">
        <v>264</v>
      </c>
      <c r="O10" s="393">
        <f>V10/Q10</f>
        <v>4718600</v>
      </c>
      <c r="P10" s="319" t="s">
        <v>305</v>
      </c>
      <c r="Q10" s="320">
        <v>3</v>
      </c>
      <c r="R10" s="319" t="s">
        <v>305</v>
      </c>
      <c r="S10" s="336">
        <v>1</v>
      </c>
      <c r="T10" s="319" t="s">
        <v>312</v>
      </c>
      <c r="U10" s="337"/>
      <c r="V10" s="390">
        <f>'바. 임직원보수 일람표'!F5</f>
        <v>14155800</v>
      </c>
    </row>
    <row r="11" spans="1:22" ht="22.5" hidden="1" customHeight="1">
      <c r="A11" s="114"/>
      <c r="B11" s="115"/>
      <c r="C11" s="115"/>
      <c r="D11" s="113"/>
      <c r="E11" s="267"/>
      <c r="F11" s="402"/>
      <c r="G11" s="424"/>
      <c r="H11" s="408">
        <v>0</v>
      </c>
      <c r="I11" s="612">
        <v>0</v>
      </c>
      <c r="J11" s="72">
        <v>0</v>
      </c>
      <c r="K11" s="415"/>
      <c r="L11" s="798"/>
      <c r="M11" s="811"/>
      <c r="N11" s="319"/>
      <c r="O11" s="393">
        <f t="shared" ref="O11:O12" si="5">V11/Q11</f>
        <v>4780100</v>
      </c>
      <c r="P11" s="319" t="s">
        <v>305</v>
      </c>
      <c r="Q11" s="320">
        <v>9</v>
      </c>
      <c r="R11" s="319" t="s">
        <v>305</v>
      </c>
      <c r="S11" s="336">
        <v>1</v>
      </c>
      <c r="T11" s="319" t="s">
        <v>312</v>
      </c>
      <c r="U11" s="337"/>
      <c r="V11" s="390">
        <f>'바. 임직원보수 일람표'!F6</f>
        <v>43020900</v>
      </c>
    </row>
    <row r="12" spans="1:22" ht="22.5" hidden="1" customHeight="1">
      <c r="A12" s="114"/>
      <c r="B12" s="115"/>
      <c r="C12" s="115"/>
      <c r="D12" s="113"/>
      <c r="E12" s="267"/>
      <c r="F12" s="402"/>
      <c r="G12" s="424"/>
      <c r="H12" s="408">
        <v>0</v>
      </c>
      <c r="I12" s="612">
        <v>0</v>
      </c>
      <c r="J12" s="72">
        <v>0</v>
      </c>
      <c r="K12" s="415"/>
      <c r="L12" s="798"/>
      <c r="M12" s="811" t="s">
        <v>199</v>
      </c>
      <c r="N12" s="319" t="s">
        <v>290</v>
      </c>
      <c r="O12" s="393" t="e">
        <f t="shared" si="5"/>
        <v>#DIV/0!</v>
      </c>
      <c r="P12" s="319" t="s">
        <v>305</v>
      </c>
      <c r="Q12" s="320">
        <v>0</v>
      </c>
      <c r="R12" s="319" t="s">
        <v>305</v>
      </c>
      <c r="S12" s="336">
        <v>1</v>
      </c>
      <c r="T12" s="319" t="s">
        <v>312</v>
      </c>
      <c r="U12" s="337"/>
      <c r="V12" s="390">
        <f>'바. 임직원보수 일람표'!F7</f>
        <v>0</v>
      </c>
    </row>
    <row r="13" spans="1:22" ht="22.5" hidden="1" customHeight="1">
      <c r="A13" s="114"/>
      <c r="B13" s="115"/>
      <c r="C13" s="115"/>
      <c r="D13" s="113"/>
      <c r="E13" s="267"/>
      <c r="F13" s="402"/>
      <c r="G13" s="424"/>
      <c r="H13" s="408"/>
      <c r="I13" s="612">
        <v>0</v>
      </c>
      <c r="J13" s="72">
        <v>0</v>
      </c>
      <c r="K13" s="415"/>
      <c r="L13" s="798"/>
      <c r="M13" s="811"/>
      <c r="N13" s="319"/>
      <c r="O13" s="393"/>
      <c r="P13" s="319" t="s">
        <v>305</v>
      </c>
      <c r="Q13" s="320">
        <v>0</v>
      </c>
      <c r="R13" s="319" t="s">
        <v>305</v>
      </c>
      <c r="S13" s="336">
        <v>1</v>
      </c>
      <c r="T13" s="319" t="s">
        <v>312</v>
      </c>
      <c r="U13" s="337"/>
      <c r="V13" s="390"/>
    </row>
    <row r="14" spans="1:22" ht="22.5" hidden="1" customHeight="1">
      <c r="A14" s="114"/>
      <c r="B14" s="118"/>
      <c r="C14" s="302" t="s">
        <v>147</v>
      </c>
      <c r="D14" s="303">
        <v>0</v>
      </c>
      <c r="E14" s="345">
        <f>V14</f>
        <v>0</v>
      </c>
      <c r="F14" s="401">
        <f t="shared" si="2"/>
        <v>0</v>
      </c>
      <c r="G14" s="425">
        <v>0</v>
      </c>
      <c r="H14" s="409">
        <v>0</v>
      </c>
      <c r="I14" s="611">
        <v>0</v>
      </c>
      <c r="J14" s="304">
        <v>0</v>
      </c>
      <c r="K14" s="416" t="e">
        <f>#REF!</f>
        <v>#REF!</v>
      </c>
      <c r="L14" s="309"/>
      <c r="M14" s="812" t="s">
        <v>91</v>
      </c>
      <c r="N14" s="306"/>
      <c r="O14" s="346"/>
      <c r="P14" s="383"/>
      <c r="Q14" s="306"/>
      <c r="R14" s="383"/>
      <c r="S14" s="306"/>
      <c r="T14" s="383"/>
      <c r="U14" s="306"/>
      <c r="V14" s="347">
        <f>V15</f>
        <v>0</v>
      </c>
    </row>
    <row r="15" spans="1:22" ht="22.5" hidden="1" customHeight="1">
      <c r="A15" s="114"/>
      <c r="B15" s="118"/>
      <c r="C15" s="115"/>
      <c r="D15" s="113"/>
      <c r="E15" s="267"/>
      <c r="F15" s="402"/>
      <c r="G15" s="424"/>
      <c r="H15" s="408"/>
      <c r="I15" s="612">
        <v>0</v>
      </c>
      <c r="J15" s="72"/>
      <c r="K15" s="415"/>
      <c r="L15" s="138"/>
      <c r="M15" s="813"/>
      <c r="N15" s="337"/>
      <c r="O15" s="393"/>
      <c r="P15" s="319" t="s">
        <v>305</v>
      </c>
      <c r="Q15" s="320">
        <v>0</v>
      </c>
      <c r="R15" s="319" t="s">
        <v>305</v>
      </c>
      <c r="S15" s="336">
        <v>0</v>
      </c>
      <c r="T15" s="319" t="s">
        <v>312</v>
      </c>
      <c r="U15" s="337"/>
      <c r="V15" s="390">
        <f>O15*Q15*S15</f>
        <v>0</v>
      </c>
    </row>
    <row r="16" spans="1:22" ht="22.5" customHeight="1">
      <c r="A16" s="114"/>
      <c r="B16" s="115"/>
      <c r="C16" s="302" t="s">
        <v>272</v>
      </c>
      <c r="D16" s="303">
        <v>13906420</v>
      </c>
      <c r="E16" s="345">
        <f>V16</f>
        <v>13221020</v>
      </c>
      <c r="F16" s="401">
        <f t="shared" si="2"/>
        <v>-685400</v>
      </c>
      <c r="G16" s="425">
        <f t="shared" si="3"/>
        <v>-4.9286588496536128</v>
      </c>
      <c r="H16" s="409">
        <v>13221020</v>
      </c>
      <c r="I16" s="611">
        <f>I17+I21+I24</f>
        <v>0</v>
      </c>
      <c r="J16" s="304">
        <v>0</v>
      </c>
      <c r="K16" s="416">
        <v>0</v>
      </c>
      <c r="L16" s="305"/>
      <c r="M16" s="814" t="s">
        <v>153</v>
      </c>
      <c r="N16" s="317"/>
      <c r="O16" s="384"/>
      <c r="P16" s="317"/>
      <c r="Q16" s="317"/>
      <c r="R16" s="317"/>
      <c r="S16" s="317"/>
      <c r="T16" s="317"/>
      <c r="U16" s="317"/>
      <c r="V16" s="385">
        <f>SUM(V17,V21,V24)</f>
        <v>13221020</v>
      </c>
    </row>
    <row r="17" spans="1:22" ht="22.5" customHeight="1">
      <c r="A17" s="114"/>
      <c r="B17" s="115"/>
      <c r="C17" s="115"/>
      <c r="D17" s="113"/>
      <c r="E17" s="267"/>
      <c r="F17" s="402"/>
      <c r="G17" s="424"/>
      <c r="H17" s="408"/>
      <c r="I17" s="612">
        <v>0</v>
      </c>
      <c r="J17" s="72"/>
      <c r="K17" s="600"/>
      <c r="L17" s="600"/>
      <c r="M17" s="1002" t="s">
        <v>182</v>
      </c>
      <c r="N17" s="1003"/>
      <c r="O17" s="379"/>
      <c r="P17" s="380"/>
      <c r="Q17" s="380"/>
      <c r="R17" s="380"/>
      <c r="S17" s="380"/>
      <c r="T17" s="380"/>
      <c r="U17" s="380"/>
      <c r="V17" s="363">
        <f>SUM(V18:V20)</f>
        <v>5699220</v>
      </c>
    </row>
    <row r="18" spans="1:22" ht="22.5" hidden="1" customHeight="1">
      <c r="A18" s="114"/>
      <c r="B18" s="115"/>
      <c r="C18" s="115"/>
      <c r="D18" s="113"/>
      <c r="E18" s="267"/>
      <c r="F18" s="402"/>
      <c r="G18" s="424"/>
      <c r="H18" s="408"/>
      <c r="I18" s="612">
        <v>0</v>
      </c>
      <c r="J18" s="72"/>
      <c r="K18" s="600"/>
      <c r="L18" s="615"/>
      <c r="M18" s="810" t="s">
        <v>314</v>
      </c>
      <c r="N18" s="350" t="s">
        <v>264</v>
      </c>
      <c r="O18" s="322">
        <v>4718600</v>
      </c>
      <c r="P18" s="319" t="s">
        <v>305</v>
      </c>
      <c r="Q18" s="320">
        <v>1</v>
      </c>
      <c r="R18" s="319" t="s">
        <v>305</v>
      </c>
      <c r="S18" s="321">
        <v>0.6</v>
      </c>
      <c r="T18" s="319" t="s">
        <v>312</v>
      </c>
      <c r="U18" s="389"/>
      <c r="V18" s="391">
        <f>O18*Q18*S18</f>
        <v>2831160</v>
      </c>
    </row>
    <row r="19" spans="1:22" ht="22.5" hidden="1" customHeight="1">
      <c r="A19" s="114"/>
      <c r="B19" s="115"/>
      <c r="C19" s="115"/>
      <c r="D19" s="113"/>
      <c r="E19" s="267"/>
      <c r="F19" s="402"/>
      <c r="G19" s="424"/>
      <c r="H19" s="408"/>
      <c r="I19" s="731">
        <v>0</v>
      </c>
      <c r="J19" s="72"/>
      <c r="K19" s="600"/>
      <c r="L19" s="615"/>
      <c r="M19" s="810"/>
      <c r="N19" s="350"/>
      <c r="O19" s="393">
        <v>4780100</v>
      </c>
      <c r="P19" s="319" t="s">
        <v>305</v>
      </c>
      <c r="Q19" s="320">
        <v>1</v>
      </c>
      <c r="R19" s="319" t="s">
        <v>305</v>
      </c>
      <c r="S19" s="321">
        <v>0.6</v>
      </c>
      <c r="T19" s="319" t="s">
        <v>312</v>
      </c>
      <c r="U19" s="389"/>
      <c r="V19" s="391">
        <f>O19*Q19*S19</f>
        <v>2868060</v>
      </c>
    </row>
    <row r="20" spans="1:22" ht="22.5" hidden="1" customHeight="1">
      <c r="A20" s="114"/>
      <c r="B20" s="115"/>
      <c r="C20" s="115"/>
      <c r="D20" s="113"/>
      <c r="E20" s="267"/>
      <c r="F20" s="402"/>
      <c r="G20" s="424"/>
      <c r="H20" s="408"/>
      <c r="I20" s="731"/>
      <c r="J20" s="595"/>
      <c r="K20" s="598"/>
      <c r="L20" s="799"/>
      <c r="M20" s="815" t="s">
        <v>199</v>
      </c>
      <c r="N20" s="748"/>
      <c r="O20" s="749"/>
      <c r="P20" s="319" t="s">
        <v>305</v>
      </c>
      <c r="Q20" s="320">
        <v>0</v>
      </c>
      <c r="R20" s="319" t="s">
        <v>305</v>
      </c>
      <c r="S20" s="321">
        <v>0.6</v>
      </c>
      <c r="T20" s="319" t="s">
        <v>312</v>
      </c>
      <c r="U20" s="750"/>
      <c r="V20" s="391">
        <f>O20*Q20*S20</f>
        <v>0</v>
      </c>
    </row>
    <row r="21" spans="1:22" ht="22.5" hidden="1" customHeight="1">
      <c r="A21" s="114"/>
      <c r="B21" s="115"/>
      <c r="C21" s="115"/>
      <c r="D21" s="113"/>
      <c r="E21" s="267"/>
      <c r="F21" s="402"/>
      <c r="G21" s="424"/>
      <c r="H21" s="408"/>
      <c r="I21" s="731">
        <v>0</v>
      </c>
      <c r="J21" s="595"/>
      <c r="K21" s="598"/>
      <c r="L21" s="799"/>
      <c r="M21" s="1004" t="s">
        <v>192</v>
      </c>
      <c r="N21" s="1005"/>
      <c r="O21" s="386"/>
      <c r="P21" s="387"/>
      <c r="Q21" s="387"/>
      <c r="R21" s="387"/>
      <c r="S21" s="387"/>
      <c r="T21" s="387"/>
      <c r="U21" s="387"/>
      <c r="V21" s="381">
        <f>SUM(V22:V23)</f>
        <v>0</v>
      </c>
    </row>
    <row r="22" spans="1:22" ht="22.5" hidden="1" customHeight="1">
      <c r="A22" s="114"/>
      <c r="B22" s="115"/>
      <c r="C22" s="115"/>
      <c r="D22" s="113"/>
      <c r="E22" s="267"/>
      <c r="F22" s="402"/>
      <c r="G22" s="424"/>
      <c r="H22" s="408"/>
      <c r="I22" s="731">
        <v>0</v>
      </c>
      <c r="J22" s="72"/>
      <c r="K22" s="600"/>
      <c r="L22" s="615"/>
      <c r="M22" s="816" t="s">
        <v>314</v>
      </c>
      <c r="N22" s="350" t="s">
        <v>264</v>
      </c>
      <c r="O22" s="322">
        <v>0</v>
      </c>
      <c r="P22" s="319" t="s">
        <v>305</v>
      </c>
      <c r="Q22" s="320">
        <v>0</v>
      </c>
      <c r="R22" s="389"/>
      <c r="S22" s="389"/>
      <c r="T22" s="319" t="s">
        <v>312</v>
      </c>
      <c r="U22" s="389"/>
      <c r="V22" s="391">
        <f>O22*Q22</f>
        <v>0</v>
      </c>
    </row>
    <row r="23" spans="1:22" ht="22.5" hidden="1" customHeight="1">
      <c r="A23" s="114"/>
      <c r="B23" s="115"/>
      <c r="C23" s="115"/>
      <c r="D23" s="113"/>
      <c r="E23" s="267"/>
      <c r="F23" s="402"/>
      <c r="G23" s="424"/>
      <c r="H23" s="408"/>
      <c r="I23" s="731">
        <v>0</v>
      </c>
      <c r="J23" s="72"/>
      <c r="K23" s="600"/>
      <c r="L23" s="615"/>
      <c r="M23" s="810" t="s">
        <v>199</v>
      </c>
      <c r="N23" s="350"/>
      <c r="O23" s="322">
        <v>0</v>
      </c>
      <c r="P23" s="319" t="s">
        <v>305</v>
      </c>
      <c r="Q23" s="320">
        <v>0</v>
      </c>
      <c r="R23" s="389"/>
      <c r="S23" s="389"/>
      <c r="T23" s="319" t="s">
        <v>312</v>
      </c>
      <c r="U23" s="389"/>
      <c r="V23" s="391">
        <f>O23*Q23</f>
        <v>0</v>
      </c>
    </row>
    <row r="24" spans="1:22" ht="22.5" customHeight="1">
      <c r="A24" s="114"/>
      <c r="B24" s="115"/>
      <c r="C24" s="115"/>
      <c r="D24" s="113"/>
      <c r="E24" s="267"/>
      <c r="F24" s="402"/>
      <c r="G24" s="424"/>
      <c r="H24" s="408"/>
      <c r="I24" s="731">
        <v>0</v>
      </c>
      <c r="J24" s="72"/>
      <c r="K24" s="600"/>
      <c r="L24" s="615"/>
      <c r="M24" s="1006" t="s">
        <v>106</v>
      </c>
      <c r="N24" s="1007"/>
      <c r="O24" s="1016" t="s">
        <v>75</v>
      </c>
      <c r="P24" s="1016"/>
      <c r="Q24" s="1016"/>
      <c r="R24" s="1016"/>
      <c r="S24" s="1016"/>
      <c r="T24" s="1016"/>
      <c r="U24" s="1016"/>
      <c r="V24" s="381">
        <f>SUM(V25:V27)</f>
        <v>7521800</v>
      </c>
    </row>
    <row r="25" spans="1:22" ht="22.5" hidden="1" customHeight="1">
      <c r="A25" s="114"/>
      <c r="B25" s="115"/>
      <c r="C25" s="115"/>
      <c r="D25" s="113"/>
      <c r="E25" s="267"/>
      <c r="F25" s="402"/>
      <c r="G25" s="424"/>
      <c r="H25" s="408"/>
      <c r="I25" s="731">
        <v>0</v>
      </c>
      <c r="J25" s="72"/>
      <c r="K25" s="415"/>
      <c r="L25" s="800"/>
      <c r="M25" s="817" t="s">
        <v>314</v>
      </c>
      <c r="N25" s="616" t="s">
        <v>264</v>
      </c>
      <c r="O25" s="324">
        <v>33870</v>
      </c>
      <c r="P25" s="319" t="s">
        <v>305</v>
      </c>
      <c r="Q25" s="323">
        <v>60</v>
      </c>
      <c r="R25" s="319"/>
      <c r="S25" s="389" t="s">
        <v>270</v>
      </c>
      <c r="T25" s="319" t="s">
        <v>312</v>
      </c>
      <c r="U25" s="389"/>
      <c r="V25" s="390">
        <f>'바. 임직원보수 일람표'!I5</f>
        <v>2032200</v>
      </c>
    </row>
    <row r="26" spans="1:22" ht="22.5" hidden="1" customHeight="1">
      <c r="A26" s="114"/>
      <c r="B26" s="115"/>
      <c r="C26" s="115"/>
      <c r="D26" s="113"/>
      <c r="E26" s="267"/>
      <c r="F26" s="402"/>
      <c r="G26" s="424"/>
      <c r="H26" s="408"/>
      <c r="I26" s="731">
        <v>0</v>
      </c>
      <c r="J26" s="72"/>
      <c r="K26" s="415"/>
      <c r="L26" s="800"/>
      <c r="M26" s="810"/>
      <c r="N26" s="350"/>
      <c r="O26" s="322">
        <v>34310</v>
      </c>
      <c r="P26" s="319" t="s">
        <v>305</v>
      </c>
      <c r="Q26" s="323">
        <v>180</v>
      </c>
      <c r="R26" s="389"/>
      <c r="S26" s="389" t="s">
        <v>287</v>
      </c>
      <c r="T26" s="319" t="s">
        <v>312</v>
      </c>
      <c r="U26" s="389"/>
      <c r="V26" s="390">
        <f>'바. 임직원보수 일람표'!I6</f>
        <v>5489600</v>
      </c>
    </row>
    <row r="27" spans="1:22" ht="22.5" hidden="1" customHeight="1">
      <c r="A27" s="114"/>
      <c r="B27" s="115"/>
      <c r="C27" s="115"/>
      <c r="D27" s="113"/>
      <c r="E27" s="267"/>
      <c r="F27" s="402"/>
      <c r="G27" s="424"/>
      <c r="H27" s="408"/>
      <c r="I27" s="731">
        <v>0</v>
      </c>
      <c r="J27" s="595"/>
      <c r="K27" s="596"/>
      <c r="L27" s="138"/>
      <c r="M27" s="810" t="s">
        <v>199</v>
      </c>
      <c r="N27" s="350"/>
      <c r="O27" s="322">
        <v>0</v>
      </c>
      <c r="P27" s="319" t="s">
        <v>305</v>
      </c>
      <c r="Q27" s="323">
        <v>0</v>
      </c>
      <c r="R27" s="389"/>
      <c r="S27" s="389">
        <v>0</v>
      </c>
      <c r="T27" s="319" t="s">
        <v>312</v>
      </c>
      <c r="U27" s="389"/>
      <c r="V27" s="391">
        <f>'바. 임직원보수 일람표'!I7</f>
        <v>0</v>
      </c>
    </row>
    <row r="28" spans="1:22" ht="22.5" customHeight="1">
      <c r="A28" s="128"/>
      <c r="B28" s="129"/>
      <c r="C28" s="310" t="s">
        <v>48</v>
      </c>
      <c r="D28" s="311">
        <v>5923590</v>
      </c>
      <c r="E28" s="345">
        <f>V28</f>
        <v>5866520</v>
      </c>
      <c r="F28" s="401">
        <f t="shared" si="2"/>
        <v>-57070</v>
      </c>
      <c r="G28" s="425">
        <f t="shared" si="3"/>
        <v>-0.96343602443788312</v>
      </c>
      <c r="H28" s="409">
        <v>5866520</v>
      </c>
      <c r="I28" s="732">
        <v>0</v>
      </c>
      <c r="J28" s="304">
        <v>0</v>
      </c>
      <c r="K28" s="416">
        <v>0</v>
      </c>
      <c r="L28" s="312"/>
      <c r="M28" s="1008" t="s">
        <v>341</v>
      </c>
      <c r="N28" s="1009"/>
      <c r="O28" s="1009"/>
      <c r="P28" s="1009"/>
      <c r="Q28" s="348"/>
      <c r="R28" s="348"/>
      <c r="S28" s="348"/>
      <c r="T28" s="348"/>
      <c r="U28" s="348"/>
      <c r="V28" s="349">
        <f>V29</f>
        <v>5866520</v>
      </c>
    </row>
    <row r="29" spans="1:22" ht="22.5" hidden="1" customHeight="1">
      <c r="A29" s="128"/>
      <c r="B29" s="129"/>
      <c r="C29" s="130"/>
      <c r="D29" s="143"/>
      <c r="E29" s="267"/>
      <c r="F29" s="402"/>
      <c r="G29" s="424"/>
      <c r="H29" s="408"/>
      <c r="I29" s="731">
        <v>0</v>
      </c>
      <c r="J29" s="72"/>
      <c r="K29" s="415"/>
      <c r="M29" s="128" t="s">
        <v>314</v>
      </c>
      <c r="N29" s="393" t="s">
        <v>264</v>
      </c>
      <c r="O29" s="393">
        <f>V9+V16</f>
        <v>70397720</v>
      </c>
      <c r="P29" s="319" t="s">
        <v>305</v>
      </c>
      <c r="Q29" s="394" t="s">
        <v>105</v>
      </c>
      <c r="R29" s="326"/>
      <c r="S29" s="326"/>
      <c r="T29" s="319" t="s">
        <v>312</v>
      </c>
      <c r="U29" s="326"/>
      <c r="V29" s="392">
        <f>'바. 임직원보수 일람표'!K9</f>
        <v>5866520</v>
      </c>
    </row>
    <row r="30" spans="1:22" ht="22.5" customHeight="1">
      <c r="A30" s="128"/>
      <c r="B30" s="129"/>
      <c r="C30" s="310" t="s">
        <v>376</v>
      </c>
      <c r="D30" s="311">
        <v>7356470</v>
      </c>
      <c r="E30" s="345">
        <f>V30</f>
        <v>2989660</v>
      </c>
      <c r="F30" s="401">
        <f t="shared" si="2"/>
        <v>-4366810</v>
      </c>
      <c r="G30" s="425">
        <f t="shared" si="3"/>
        <v>-59.360127887424262</v>
      </c>
      <c r="H30" s="409">
        <v>2989660</v>
      </c>
      <c r="I30" s="732">
        <v>0</v>
      </c>
      <c r="J30" s="304">
        <v>0</v>
      </c>
      <c r="K30" s="416">
        <v>0</v>
      </c>
      <c r="L30" s="312"/>
      <c r="M30" s="1008" t="s">
        <v>333</v>
      </c>
      <c r="N30" s="1009"/>
      <c r="O30" s="348"/>
      <c r="P30" s="348"/>
      <c r="Q30" s="348"/>
      <c r="R30" s="348"/>
      <c r="S30" s="348"/>
      <c r="T30" s="348"/>
      <c r="U30" s="348"/>
      <c r="V30" s="349">
        <f>SUM(V31:V35)</f>
        <v>2989660</v>
      </c>
    </row>
    <row r="31" spans="1:22" ht="22.5" hidden="1" customHeight="1">
      <c r="A31" s="128"/>
      <c r="B31" s="129"/>
      <c r="C31" s="130"/>
      <c r="D31" s="143"/>
      <c r="E31" s="267"/>
      <c r="F31" s="402"/>
      <c r="G31" s="424"/>
      <c r="H31" s="408"/>
      <c r="I31" s="731">
        <v>0</v>
      </c>
      <c r="J31" s="72"/>
      <c r="K31" s="415"/>
      <c r="L31" s="718"/>
      <c r="M31" s="818" t="s">
        <v>186</v>
      </c>
      <c r="N31" s="393"/>
      <c r="O31" s="393">
        <f>V9+V16</f>
        <v>70397720</v>
      </c>
      <c r="P31" s="319" t="s">
        <v>305</v>
      </c>
      <c r="Q31" s="327">
        <v>4.4999999999999998E-2</v>
      </c>
      <c r="R31" s="326"/>
      <c r="S31" s="326"/>
      <c r="T31" s="328" t="s">
        <v>312</v>
      </c>
      <c r="U31" s="326"/>
      <c r="V31" s="392">
        <f>'바. 임직원보수 일람표'!N9</f>
        <v>0</v>
      </c>
    </row>
    <row r="32" spans="1:22" ht="22.5" customHeight="1">
      <c r="A32" s="128"/>
      <c r="B32" s="129"/>
      <c r="C32" s="130"/>
      <c r="D32" s="143"/>
      <c r="E32" s="267"/>
      <c r="F32" s="402"/>
      <c r="G32" s="734"/>
      <c r="H32" s="408"/>
      <c r="I32" s="731">
        <v>0</v>
      </c>
      <c r="J32" s="72"/>
      <c r="K32" s="598"/>
      <c r="L32" s="711"/>
      <c r="M32" s="818" t="s">
        <v>94</v>
      </c>
      <c r="N32" s="393"/>
      <c r="O32" s="393">
        <f>V9+V16</f>
        <v>70397720</v>
      </c>
      <c r="P32" s="319" t="s">
        <v>305</v>
      </c>
      <c r="Q32" s="329">
        <v>3.4299999999999997E-2</v>
      </c>
      <c r="R32" s="326"/>
      <c r="S32" s="326"/>
      <c r="T32" s="328" t="s">
        <v>312</v>
      </c>
      <c r="U32" s="326"/>
      <c r="V32" s="392">
        <f>'바. 임직원보수 일람표'!L9</f>
        <v>2650220</v>
      </c>
    </row>
    <row r="33" spans="1:22" ht="22.5" customHeight="1">
      <c r="A33" s="128"/>
      <c r="B33" s="129"/>
      <c r="C33" s="130"/>
      <c r="D33" s="143"/>
      <c r="E33" s="267"/>
      <c r="F33" s="402"/>
      <c r="G33" s="734"/>
      <c r="H33" s="408"/>
      <c r="I33" s="731">
        <v>0</v>
      </c>
      <c r="J33" s="72"/>
      <c r="K33" s="415"/>
      <c r="L33" s="597"/>
      <c r="M33" s="819" t="s">
        <v>342</v>
      </c>
      <c r="N33" s="393"/>
      <c r="O33" s="393">
        <v>2650220</v>
      </c>
      <c r="P33" s="319" t="s">
        <v>305</v>
      </c>
      <c r="Q33" s="331">
        <v>0.12809999999999999</v>
      </c>
      <c r="R33" s="326"/>
      <c r="S33" s="326"/>
      <c r="T33" s="328" t="s">
        <v>312</v>
      </c>
      <c r="U33" s="326"/>
      <c r="V33" s="392">
        <f>'바. 임직원보수 일람표'!M9</f>
        <v>339440</v>
      </c>
    </row>
    <row r="34" spans="1:22" ht="22.5" hidden="1" customHeight="1">
      <c r="A34" s="128"/>
      <c r="B34" s="129"/>
      <c r="C34" s="130"/>
      <c r="D34" s="143"/>
      <c r="E34" s="267"/>
      <c r="F34" s="402"/>
      <c r="G34" s="734"/>
      <c r="H34" s="408"/>
      <c r="I34" s="731">
        <v>0</v>
      </c>
      <c r="J34" s="72"/>
      <c r="K34" s="596"/>
      <c r="L34" s="597"/>
      <c r="M34" s="819" t="s">
        <v>174</v>
      </c>
      <c r="N34" s="393"/>
      <c r="O34" s="393">
        <f>V9+V16</f>
        <v>70397720</v>
      </c>
      <c r="P34" s="319" t="s">
        <v>305</v>
      </c>
      <c r="Q34" s="331">
        <v>1.0500000000000001E-2</v>
      </c>
      <c r="R34" s="326"/>
      <c r="S34" s="326"/>
      <c r="T34" s="328" t="s">
        <v>312</v>
      </c>
      <c r="U34" s="326"/>
      <c r="V34" s="392">
        <v>0</v>
      </c>
    </row>
    <row r="35" spans="1:22" ht="22.5" hidden="1" customHeight="1">
      <c r="A35" s="128"/>
      <c r="B35" s="129"/>
      <c r="C35" s="130"/>
      <c r="D35" s="143"/>
      <c r="E35" s="267"/>
      <c r="F35" s="402"/>
      <c r="G35" s="734"/>
      <c r="H35" s="408"/>
      <c r="I35" s="731">
        <v>0</v>
      </c>
      <c r="J35" s="82"/>
      <c r="K35" s="600"/>
      <c r="L35" s="711"/>
      <c r="M35" s="818" t="s">
        <v>172</v>
      </c>
      <c r="N35" s="393"/>
      <c r="O35" s="728">
        <f>V9+V16</f>
        <v>70397720</v>
      </c>
      <c r="P35" s="723" t="s">
        <v>305</v>
      </c>
      <c r="Q35" s="329">
        <v>8.0000000000000002E-3</v>
      </c>
      <c r="R35" s="326"/>
      <c r="S35" s="326"/>
      <c r="T35" s="328" t="s">
        <v>312</v>
      </c>
      <c r="U35" s="326"/>
      <c r="V35" s="392">
        <v>0</v>
      </c>
    </row>
    <row r="36" spans="1:22" ht="22.5" hidden="1" customHeight="1">
      <c r="A36" s="128"/>
      <c r="B36" s="129"/>
      <c r="C36" s="310" t="s">
        <v>109</v>
      </c>
      <c r="D36" s="311">
        <v>0</v>
      </c>
      <c r="E36" s="345">
        <f>V36</f>
        <v>0</v>
      </c>
      <c r="F36" s="401">
        <f t="shared" si="2"/>
        <v>0</v>
      </c>
      <c r="G36" s="735">
        <v>0</v>
      </c>
      <c r="H36" s="409">
        <v>0</v>
      </c>
      <c r="I36" s="732">
        <v>0</v>
      </c>
      <c r="J36" s="304">
        <v>0</v>
      </c>
      <c r="K36" s="599" t="e">
        <f>#REF!</f>
        <v>#REF!</v>
      </c>
      <c r="L36" s="602"/>
      <c r="M36" s="1010" t="s">
        <v>372</v>
      </c>
      <c r="N36" s="1011"/>
      <c r="O36" s="725"/>
      <c r="P36" s="348"/>
      <c r="Q36" s="348"/>
      <c r="R36" s="348"/>
      <c r="S36" s="348"/>
      <c r="T36" s="348"/>
      <c r="U36" s="348"/>
      <c r="V36" s="349">
        <f>SUM(V37:V38)</f>
        <v>0</v>
      </c>
    </row>
    <row r="37" spans="1:22" ht="22.5" hidden="1" customHeight="1">
      <c r="A37" s="128"/>
      <c r="B37" s="129"/>
      <c r="C37" s="130"/>
      <c r="D37" s="143"/>
      <c r="E37" s="266"/>
      <c r="F37" s="402"/>
      <c r="G37" s="734"/>
      <c r="H37" s="410"/>
      <c r="I37" s="731">
        <v>0</v>
      </c>
      <c r="J37" s="82"/>
      <c r="K37" s="600"/>
      <c r="L37" s="603"/>
      <c r="M37" s="128" t="s">
        <v>98</v>
      </c>
      <c r="N37" s="328"/>
      <c r="O37" s="713"/>
      <c r="P37" s="724" t="s">
        <v>305</v>
      </c>
      <c r="Q37" s="351">
        <v>0</v>
      </c>
      <c r="R37" s="326"/>
      <c r="S37" s="326"/>
      <c r="T37" s="352" t="s">
        <v>312</v>
      </c>
      <c r="U37" s="326"/>
      <c r="V37" s="395">
        <f>O37*Q37</f>
        <v>0</v>
      </c>
    </row>
    <row r="38" spans="1:22" ht="22.5" hidden="1" customHeight="1">
      <c r="A38" s="128"/>
      <c r="B38" s="129"/>
      <c r="C38" s="130"/>
      <c r="D38" s="143"/>
      <c r="E38" s="266"/>
      <c r="F38" s="402"/>
      <c r="G38" s="734"/>
      <c r="H38" s="410"/>
      <c r="I38" s="731">
        <v>0</v>
      </c>
      <c r="J38" s="82"/>
      <c r="K38" s="600"/>
      <c r="L38" s="603"/>
      <c r="M38" s="128" t="s">
        <v>131</v>
      </c>
      <c r="N38" s="328"/>
      <c r="O38" s="713"/>
      <c r="P38" s="724" t="s">
        <v>305</v>
      </c>
      <c r="Q38" s="353">
        <v>0</v>
      </c>
      <c r="R38" s="326"/>
      <c r="S38" s="326"/>
      <c r="T38" s="352" t="s">
        <v>312</v>
      </c>
      <c r="U38" s="326"/>
      <c r="V38" s="395">
        <f>O38*Q38</f>
        <v>0</v>
      </c>
    </row>
    <row r="39" spans="1:22" ht="22.5" customHeight="1">
      <c r="A39" s="128"/>
      <c r="B39" s="131" t="s">
        <v>95</v>
      </c>
      <c r="C39" s="132" t="s">
        <v>267</v>
      </c>
      <c r="D39" s="144">
        <f>SUM(D40+D43+D45)</f>
        <v>140000</v>
      </c>
      <c r="E39" s="259">
        <f>SUM(E40:E45)</f>
        <v>37200</v>
      </c>
      <c r="F39" s="400">
        <f t="shared" si="2"/>
        <v>-102800</v>
      </c>
      <c r="G39" s="736">
        <v>0</v>
      </c>
      <c r="H39" s="411">
        <f>SUM(H40:H45)</f>
        <v>0</v>
      </c>
      <c r="I39" s="733" t="e">
        <f t="shared" ref="I39:K39" si="6">SUM(I40:I45)</f>
        <v>#REF!</v>
      </c>
      <c r="J39" s="133">
        <f t="shared" si="6"/>
        <v>37200</v>
      </c>
      <c r="K39" s="601" t="e">
        <f t="shared" si="6"/>
        <v>#REF!</v>
      </c>
      <c r="L39" s="726"/>
      <c r="M39" s="820" t="s">
        <v>144</v>
      </c>
      <c r="N39" s="729"/>
      <c r="O39" s="727"/>
      <c r="P39" s="270"/>
      <c r="Q39" s="270"/>
      <c r="R39" s="270"/>
      <c r="S39" s="270"/>
      <c r="T39" s="270"/>
      <c r="U39" s="270"/>
      <c r="V39" s="318">
        <f>SUM(V40,V43,V45)</f>
        <v>37200</v>
      </c>
    </row>
    <row r="40" spans="1:22" ht="22.5" hidden="1" customHeight="1">
      <c r="A40" s="128"/>
      <c r="B40" s="129"/>
      <c r="C40" s="310" t="s">
        <v>237</v>
      </c>
      <c r="D40" s="311">
        <v>0</v>
      </c>
      <c r="E40" s="355">
        <f>V40</f>
        <v>0</v>
      </c>
      <c r="F40" s="401">
        <f t="shared" si="2"/>
        <v>0</v>
      </c>
      <c r="G40" s="735">
        <v>0</v>
      </c>
      <c r="H40" s="409">
        <v>0</v>
      </c>
      <c r="I40" s="732" t="e">
        <f>#REF!</f>
        <v>#REF!</v>
      </c>
      <c r="J40" s="304">
        <v>0</v>
      </c>
      <c r="K40" s="599" t="e">
        <f>#REF!</f>
        <v>#REF!</v>
      </c>
      <c r="L40" s="602"/>
      <c r="M40" s="821" t="s">
        <v>90</v>
      </c>
      <c r="N40" s="371"/>
      <c r="O40" s="371"/>
      <c r="P40" s="371"/>
      <c r="Q40" s="371"/>
      <c r="R40" s="371"/>
      <c r="S40" s="371"/>
      <c r="T40" s="371"/>
      <c r="U40" s="371"/>
      <c r="V40" s="382">
        <f>SUM(V41:V42)</f>
        <v>0</v>
      </c>
    </row>
    <row r="41" spans="1:22" ht="22.5" hidden="1" customHeight="1">
      <c r="A41" s="128"/>
      <c r="B41" s="129"/>
      <c r="C41" s="130"/>
      <c r="D41" s="143"/>
      <c r="E41" s="266"/>
      <c r="F41" s="402"/>
      <c r="G41" s="734"/>
      <c r="H41" s="408"/>
      <c r="I41" s="731">
        <v>0</v>
      </c>
      <c r="J41" s="72"/>
      <c r="K41" s="600"/>
      <c r="L41" s="603"/>
      <c r="M41" s="128" t="s">
        <v>103</v>
      </c>
      <c r="N41" s="326"/>
      <c r="O41" s="326"/>
      <c r="P41" s="326"/>
      <c r="Q41" s="326"/>
      <c r="R41" s="326"/>
      <c r="S41" s="326"/>
      <c r="T41" s="326"/>
      <c r="U41" s="326"/>
      <c r="V41" s="395">
        <f t="shared" ref="V41:V44" si="7">O41*Q41</f>
        <v>0</v>
      </c>
    </row>
    <row r="42" spans="1:22" ht="22.5" hidden="1" customHeight="1">
      <c r="A42" s="128"/>
      <c r="B42" s="129"/>
      <c r="C42" s="130"/>
      <c r="D42" s="143"/>
      <c r="E42" s="266"/>
      <c r="F42" s="402"/>
      <c r="G42" s="734"/>
      <c r="H42" s="408"/>
      <c r="I42" s="731">
        <v>0</v>
      </c>
      <c r="J42" s="72"/>
      <c r="K42" s="600"/>
      <c r="L42" s="603"/>
      <c r="M42" s="818" t="s">
        <v>326</v>
      </c>
      <c r="N42" s="326"/>
      <c r="O42" s="326"/>
      <c r="P42" s="326"/>
      <c r="Q42" s="326"/>
      <c r="R42" s="326"/>
      <c r="S42" s="326"/>
      <c r="T42" s="326"/>
      <c r="U42" s="326"/>
      <c r="V42" s="395">
        <f t="shared" si="7"/>
        <v>0</v>
      </c>
    </row>
    <row r="43" spans="1:22" ht="22.5" hidden="1" customHeight="1">
      <c r="A43" s="128"/>
      <c r="B43" s="129"/>
      <c r="C43" s="310" t="s">
        <v>119</v>
      </c>
      <c r="D43" s="311">
        <v>0</v>
      </c>
      <c r="E43" s="355">
        <f>V43</f>
        <v>0</v>
      </c>
      <c r="F43" s="345">
        <f t="shared" si="2"/>
        <v>0</v>
      </c>
      <c r="G43" s="735">
        <v>0</v>
      </c>
      <c r="H43" s="409">
        <v>0</v>
      </c>
      <c r="I43" s="732">
        <v>0</v>
      </c>
      <c r="J43" s="304">
        <v>0</v>
      </c>
      <c r="K43" s="599" t="e">
        <f>#REF!</f>
        <v>#REF!</v>
      </c>
      <c r="L43" s="604"/>
      <c r="M43" s="822" t="s">
        <v>141</v>
      </c>
      <c r="N43" s="315"/>
      <c r="O43" s="315"/>
      <c r="P43" s="315"/>
      <c r="Q43" s="315"/>
      <c r="R43" s="315"/>
      <c r="S43" s="315"/>
      <c r="T43" s="315"/>
      <c r="U43" s="315"/>
      <c r="V43" s="388">
        <f>V44</f>
        <v>0</v>
      </c>
    </row>
    <row r="44" spans="1:22" ht="22.5" hidden="1" customHeight="1">
      <c r="A44" s="128"/>
      <c r="B44" s="129"/>
      <c r="C44" s="130"/>
      <c r="D44" s="143"/>
      <c r="E44" s="266"/>
      <c r="F44" s="402"/>
      <c r="G44" s="734"/>
      <c r="H44" s="408"/>
      <c r="I44" s="731">
        <v>0</v>
      </c>
      <c r="J44" s="72"/>
      <c r="K44" s="600"/>
      <c r="L44" s="603"/>
      <c r="M44" s="128" t="s">
        <v>119</v>
      </c>
      <c r="N44" s="316"/>
      <c r="O44" s="316"/>
      <c r="P44" s="316"/>
      <c r="Q44" s="316"/>
      <c r="R44" s="316"/>
      <c r="S44" s="316"/>
      <c r="T44" s="316"/>
      <c r="U44" s="316"/>
      <c r="V44" s="395">
        <f t="shared" si="7"/>
        <v>0</v>
      </c>
    </row>
    <row r="45" spans="1:22" ht="22.5" customHeight="1">
      <c r="A45" s="128"/>
      <c r="B45" s="129"/>
      <c r="C45" s="310" t="s">
        <v>301</v>
      </c>
      <c r="D45" s="311">
        <v>140000</v>
      </c>
      <c r="E45" s="355">
        <f>V45</f>
        <v>37200</v>
      </c>
      <c r="F45" s="401">
        <f t="shared" si="2"/>
        <v>-102800</v>
      </c>
      <c r="G45" s="735">
        <v>0</v>
      </c>
      <c r="H45" s="409">
        <v>0</v>
      </c>
      <c r="I45" s="732">
        <v>0</v>
      </c>
      <c r="J45" s="304">
        <v>37200</v>
      </c>
      <c r="K45" s="599" t="e">
        <f>#REF!</f>
        <v>#REF!</v>
      </c>
      <c r="L45" s="602"/>
      <c r="M45" s="833" t="s">
        <v>212</v>
      </c>
      <c r="N45" s="314"/>
      <c r="O45" s="314"/>
      <c r="P45" s="314"/>
      <c r="Q45" s="314"/>
      <c r="R45" s="314"/>
      <c r="S45" s="314"/>
      <c r="T45" s="314"/>
      <c r="U45" s="314"/>
      <c r="V45" s="730">
        <f>SUM(V46:V47)</f>
        <v>37200</v>
      </c>
    </row>
    <row r="46" spans="1:22" ht="22.5" hidden="1" customHeight="1">
      <c r="A46" s="128"/>
      <c r="B46" s="129"/>
      <c r="C46" s="130"/>
      <c r="D46" s="143"/>
      <c r="E46" s="266"/>
      <c r="F46" s="402"/>
      <c r="G46" s="424"/>
      <c r="H46" s="410"/>
      <c r="I46" s="731">
        <v>0</v>
      </c>
      <c r="J46" s="82"/>
      <c r="K46" s="600"/>
      <c r="L46" s="711"/>
      <c r="M46" s="128" t="s">
        <v>190</v>
      </c>
      <c r="N46" s="316"/>
      <c r="O46" s="316"/>
      <c r="P46" s="319" t="s">
        <v>305</v>
      </c>
      <c r="Q46" s="316"/>
      <c r="R46" s="316"/>
      <c r="S46" s="316"/>
      <c r="T46" s="319" t="s">
        <v>312</v>
      </c>
      <c r="U46" s="316"/>
      <c r="V46" s="395">
        <f>O46*Q46</f>
        <v>0</v>
      </c>
    </row>
    <row r="47" spans="1:22" ht="22.5" customHeight="1">
      <c r="A47" s="128"/>
      <c r="B47" s="129"/>
      <c r="C47" s="130"/>
      <c r="D47" s="143"/>
      <c r="E47" s="266"/>
      <c r="F47" s="402"/>
      <c r="G47" s="424"/>
      <c r="H47" s="410"/>
      <c r="I47" s="731">
        <v>0</v>
      </c>
      <c r="J47" s="595"/>
      <c r="K47" s="598"/>
      <c r="L47" s="605"/>
      <c r="M47" s="823" t="s">
        <v>45</v>
      </c>
      <c r="N47" s="715"/>
      <c r="O47" s="715">
        <f>V47/Q47</f>
        <v>18600</v>
      </c>
      <c r="P47" s="319" t="s">
        <v>305</v>
      </c>
      <c r="Q47" s="356">
        <v>2</v>
      </c>
      <c r="R47" s="326"/>
      <c r="S47" s="326"/>
      <c r="T47" s="319" t="s">
        <v>312</v>
      </c>
      <c r="U47" s="326"/>
      <c r="V47" s="390">
        <v>37200</v>
      </c>
    </row>
    <row r="48" spans="1:22" ht="24.75" customHeight="1">
      <c r="A48" s="128"/>
      <c r="B48" s="131" t="s">
        <v>311</v>
      </c>
      <c r="C48" s="132" t="s">
        <v>267</v>
      </c>
      <c r="D48" s="144">
        <f>SUM(D49+D51+D65+D68+D74+D77)</f>
        <v>10100000</v>
      </c>
      <c r="E48" s="259">
        <f ca="1">SUM(E49:E77)</f>
        <v>5196740</v>
      </c>
      <c r="F48" s="400">
        <f t="shared" ca="1" si="2"/>
        <v>-4903260</v>
      </c>
      <c r="G48" s="423">
        <f t="shared" ca="1" si="3"/>
        <v>-48.547128712871285</v>
      </c>
      <c r="H48" s="411">
        <f>SUM(H51+H65+H74)</f>
        <v>2810000</v>
      </c>
      <c r="I48" s="733">
        <f>SUM(I51+I65+I74)</f>
        <v>0</v>
      </c>
      <c r="J48" s="411">
        <f>SUM(J51+J65+J74)</f>
        <v>2386740</v>
      </c>
      <c r="K48" s="411">
        <f>SUM(K51+K65+K74)</f>
        <v>0</v>
      </c>
      <c r="L48" s="594"/>
      <c r="M48" s="824" t="s">
        <v>152</v>
      </c>
      <c r="N48" s="270"/>
      <c r="O48" s="341"/>
      <c r="P48" s="270"/>
      <c r="Q48" s="270"/>
      <c r="R48" s="270"/>
      <c r="S48" s="270"/>
      <c r="T48" s="270"/>
      <c r="U48" s="270"/>
      <c r="V48" s="593">
        <f ca="1">SUM(V49,V51,V65,V68,V74,V77)</f>
        <v>5196740</v>
      </c>
    </row>
    <row r="49" spans="1:22" ht="24.75" hidden="1" customHeight="1">
      <c r="A49" s="128"/>
      <c r="B49" s="129"/>
      <c r="C49" s="310" t="s">
        <v>257</v>
      </c>
      <c r="D49" s="311">
        <v>0</v>
      </c>
      <c r="E49" s="355">
        <f>V49</f>
        <v>0</v>
      </c>
      <c r="F49" s="401">
        <f t="shared" si="2"/>
        <v>0</v>
      </c>
      <c r="G49" s="425">
        <v>0</v>
      </c>
      <c r="H49" s="409">
        <v>0</v>
      </c>
      <c r="I49" s="732" t="e">
        <f>#REF!</f>
        <v>#REF!</v>
      </c>
      <c r="J49" s="304">
        <v>0</v>
      </c>
      <c r="K49" s="416" t="e">
        <f>#REF!</f>
        <v>#REF!</v>
      </c>
      <c r="L49" s="312"/>
      <c r="M49" s="821" t="s">
        <v>223</v>
      </c>
      <c r="N49" s="371"/>
      <c r="O49" s="371"/>
      <c r="P49" s="371"/>
      <c r="Q49" s="371"/>
      <c r="R49" s="371"/>
      <c r="S49" s="371"/>
      <c r="T49" s="371"/>
      <c r="U49" s="371"/>
      <c r="V49" s="372">
        <f>V50</f>
        <v>0</v>
      </c>
    </row>
    <row r="50" spans="1:22" ht="24.75" hidden="1" customHeight="1">
      <c r="A50" s="128"/>
      <c r="B50" s="129"/>
      <c r="C50" s="130"/>
      <c r="D50" s="143"/>
      <c r="E50" s="266"/>
      <c r="F50" s="402"/>
      <c r="G50" s="424"/>
      <c r="H50" s="408"/>
      <c r="I50" s="731">
        <v>0</v>
      </c>
      <c r="J50" s="72"/>
      <c r="K50" s="415"/>
      <c r="M50" s="825"/>
      <c r="N50" s="316"/>
      <c r="O50" s="316"/>
      <c r="P50" s="316"/>
      <c r="Q50" s="316"/>
      <c r="R50" s="316"/>
      <c r="S50" s="316"/>
      <c r="T50" s="316"/>
      <c r="U50" s="316"/>
      <c r="V50" s="396"/>
    </row>
    <row r="51" spans="1:22" ht="24.75" customHeight="1">
      <c r="A51" s="128"/>
      <c r="B51" s="129"/>
      <c r="C51" s="310" t="s">
        <v>173</v>
      </c>
      <c r="D51" s="311">
        <v>3780000</v>
      </c>
      <c r="E51" s="355">
        <f ca="1">V51</f>
        <v>2331100</v>
      </c>
      <c r="F51" s="401">
        <f t="shared" ca="1" si="2"/>
        <v>-1448900</v>
      </c>
      <c r="G51" s="425">
        <f t="shared" ca="1" si="3"/>
        <v>-38.330687830687829</v>
      </c>
      <c r="H51" s="409">
        <v>1310000</v>
      </c>
      <c r="I51" s="732">
        <f>SUM(I52:I62)</f>
        <v>0</v>
      </c>
      <c r="J51" s="304">
        <v>1021100</v>
      </c>
      <c r="K51" s="599">
        <v>0</v>
      </c>
      <c r="L51" s="606"/>
      <c r="M51" s="1012" t="s">
        <v>358</v>
      </c>
      <c r="N51" s="1013"/>
      <c r="O51" s="314"/>
      <c r="P51" s="314"/>
      <c r="Q51" s="314"/>
      <c r="R51" s="314"/>
      <c r="S51" s="314"/>
      <c r="T51" s="314"/>
      <c r="U51" s="314"/>
      <c r="V51" s="357">
        <f ca="1">SUM(V52:V64)</f>
        <v>2331100</v>
      </c>
    </row>
    <row r="52" spans="1:22" ht="22.5" customHeight="1">
      <c r="A52" s="128"/>
      <c r="B52" s="129"/>
      <c r="C52" s="130"/>
      <c r="D52" s="143"/>
      <c r="E52" s="266"/>
      <c r="F52" s="402"/>
      <c r="G52" s="424"/>
      <c r="H52" s="408"/>
      <c r="I52" s="731">
        <v>0</v>
      </c>
      <c r="J52" s="72"/>
      <c r="K52" s="600"/>
      <c r="L52" s="711"/>
      <c r="M52" s="128" t="s">
        <v>197</v>
      </c>
      <c r="N52" s="316"/>
      <c r="O52" s="316">
        <f>V52/Q52</f>
        <v>88190</v>
      </c>
      <c r="P52" s="352" t="s">
        <v>305</v>
      </c>
      <c r="Q52" s="353">
        <v>10</v>
      </c>
      <c r="R52" s="316"/>
      <c r="S52" s="316"/>
      <c r="T52" s="352" t="s">
        <v>312</v>
      </c>
      <c r="U52" s="316"/>
      <c r="V52" s="333">
        <v>881900</v>
      </c>
    </row>
    <row r="53" spans="1:22" ht="22.5" hidden="1" customHeight="1">
      <c r="A53" s="128"/>
      <c r="B53" s="129"/>
      <c r="C53" s="130"/>
      <c r="D53" s="143"/>
      <c r="E53" s="266"/>
      <c r="F53" s="402"/>
      <c r="G53" s="424"/>
      <c r="H53" s="408"/>
      <c r="I53" s="731">
        <v>0</v>
      </c>
      <c r="J53" s="607"/>
      <c r="K53" s="608"/>
      <c r="L53" s="603"/>
      <c r="M53" s="128" t="s">
        <v>183</v>
      </c>
      <c r="N53" s="316"/>
      <c r="O53" s="316">
        <f t="shared" ref="O53:O64" ca="1" si="8">V53/Q53</f>
        <v>0</v>
      </c>
      <c r="P53" s="352" t="s">
        <v>305</v>
      </c>
      <c r="Q53" s="353">
        <v>7</v>
      </c>
      <c r="R53" s="316"/>
      <c r="S53" s="316"/>
      <c r="T53" s="352" t="s">
        <v>312</v>
      </c>
      <c r="U53" s="316"/>
      <c r="V53" s="333">
        <f ca="1">O53*Q53</f>
        <v>0</v>
      </c>
    </row>
    <row r="54" spans="1:22" ht="22.5" hidden="1" customHeight="1">
      <c r="A54" s="128"/>
      <c r="B54" s="129"/>
      <c r="C54" s="130"/>
      <c r="D54" s="143"/>
      <c r="E54" s="266"/>
      <c r="F54" s="402"/>
      <c r="G54" s="424"/>
      <c r="H54" s="408"/>
      <c r="I54" s="731">
        <v>0</v>
      </c>
      <c r="J54" s="72"/>
      <c r="K54" s="415"/>
      <c r="L54" s="718"/>
      <c r="M54" s="128"/>
      <c r="N54" s="316"/>
      <c r="O54" s="316">
        <f t="shared" ca="1" si="8"/>
        <v>0</v>
      </c>
      <c r="P54" s="352" t="s">
        <v>305</v>
      </c>
      <c r="Q54" s="353">
        <v>7</v>
      </c>
      <c r="R54" s="316"/>
      <c r="S54" s="316"/>
      <c r="T54" s="352" t="s">
        <v>312</v>
      </c>
      <c r="U54" s="316"/>
      <c r="V54" s="333">
        <f ca="1">O54*Q54</f>
        <v>0</v>
      </c>
    </row>
    <row r="55" spans="1:22" ht="22.5" customHeight="1">
      <c r="A55" s="128"/>
      <c r="B55" s="129"/>
      <c r="C55" s="130"/>
      <c r="D55" s="143"/>
      <c r="E55" s="81"/>
      <c r="F55" s="402"/>
      <c r="G55" s="424"/>
      <c r="H55" s="408"/>
      <c r="I55" s="731"/>
      <c r="J55" s="595"/>
      <c r="K55" s="598"/>
      <c r="L55" s="718"/>
      <c r="M55" s="128" t="s">
        <v>228</v>
      </c>
      <c r="N55" s="316"/>
      <c r="O55" s="316">
        <f t="shared" si="8"/>
        <v>22800</v>
      </c>
      <c r="P55" s="352" t="s">
        <v>305</v>
      </c>
      <c r="Q55" s="353">
        <v>2</v>
      </c>
      <c r="R55" s="316"/>
      <c r="S55" s="316"/>
      <c r="T55" s="352" t="s">
        <v>312</v>
      </c>
      <c r="U55" s="316"/>
      <c r="V55" s="333">
        <v>45600</v>
      </c>
    </row>
    <row r="56" spans="1:22" ht="22.5" customHeight="1">
      <c r="A56" s="128"/>
      <c r="B56" s="129"/>
      <c r="C56" s="130"/>
      <c r="D56" s="143"/>
      <c r="E56" s="81"/>
      <c r="F56" s="402"/>
      <c r="G56" s="424"/>
      <c r="H56" s="408"/>
      <c r="I56" s="731"/>
      <c r="J56" s="595"/>
      <c r="K56" s="598"/>
      <c r="L56" s="718"/>
      <c r="M56" s="128"/>
      <c r="N56" s="316"/>
      <c r="O56" s="316">
        <f t="shared" si="8"/>
        <v>23800</v>
      </c>
      <c r="P56" s="352" t="s">
        <v>305</v>
      </c>
      <c r="Q56" s="353">
        <v>10</v>
      </c>
      <c r="R56" s="316"/>
      <c r="S56" s="316"/>
      <c r="T56" s="352" t="s">
        <v>312</v>
      </c>
      <c r="U56" s="316"/>
      <c r="V56" s="333">
        <v>238000</v>
      </c>
    </row>
    <row r="57" spans="1:22" ht="22.5" customHeight="1">
      <c r="A57" s="128"/>
      <c r="B57" s="129"/>
      <c r="C57" s="130"/>
      <c r="D57" s="143"/>
      <c r="E57" s="266"/>
      <c r="F57" s="402"/>
      <c r="G57" s="424"/>
      <c r="H57" s="408"/>
      <c r="I57" s="731">
        <v>0</v>
      </c>
      <c r="J57" s="595"/>
      <c r="K57" s="598"/>
      <c r="L57" s="711"/>
      <c r="M57" s="128" t="s">
        <v>133</v>
      </c>
      <c r="N57" s="316"/>
      <c r="O57" s="316">
        <f t="shared" si="8"/>
        <v>30400</v>
      </c>
      <c r="P57" s="352" t="s">
        <v>305</v>
      </c>
      <c r="Q57" s="353">
        <v>2</v>
      </c>
      <c r="R57" s="316"/>
      <c r="S57" s="316"/>
      <c r="T57" s="352" t="s">
        <v>312</v>
      </c>
      <c r="U57" s="316"/>
      <c r="V57" s="333">
        <v>60800</v>
      </c>
    </row>
    <row r="58" spans="1:22" ht="22.5" customHeight="1">
      <c r="A58" s="128"/>
      <c r="B58" s="129"/>
      <c r="C58" s="130"/>
      <c r="D58" s="143"/>
      <c r="E58" s="81"/>
      <c r="F58" s="402"/>
      <c r="G58" s="424"/>
      <c r="H58" s="408"/>
      <c r="I58" s="731"/>
      <c r="J58" s="595"/>
      <c r="K58" s="598"/>
      <c r="L58" s="711"/>
      <c r="M58" s="128"/>
      <c r="N58" s="316"/>
      <c r="O58" s="316">
        <f t="shared" si="8"/>
        <v>32400</v>
      </c>
      <c r="P58" s="352" t="s">
        <v>305</v>
      </c>
      <c r="Q58" s="353">
        <v>10</v>
      </c>
      <c r="R58" s="316"/>
      <c r="S58" s="316"/>
      <c r="T58" s="352" t="s">
        <v>312</v>
      </c>
      <c r="U58" s="316"/>
      <c r="V58" s="333">
        <v>324000</v>
      </c>
    </row>
    <row r="59" spans="1:22" ht="22.5" customHeight="1">
      <c r="A59" s="128"/>
      <c r="B59" s="129"/>
      <c r="C59" s="130"/>
      <c r="D59" s="143"/>
      <c r="E59" s="266"/>
      <c r="F59" s="402"/>
      <c r="G59" s="424"/>
      <c r="H59" s="408"/>
      <c r="I59" s="731">
        <v>0</v>
      </c>
      <c r="J59" s="72"/>
      <c r="K59" s="600"/>
      <c r="L59" s="711"/>
      <c r="M59" s="128" t="s">
        <v>81</v>
      </c>
      <c r="N59" s="316"/>
      <c r="O59" s="316">
        <f t="shared" si="8"/>
        <v>38500</v>
      </c>
      <c r="P59" s="352" t="s">
        <v>305</v>
      </c>
      <c r="Q59" s="353">
        <v>5</v>
      </c>
      <c r="R59" s="316"/>
      <c r="S59" s="316"/>
      <c r="T59" s="352" t="s">
        <v>312</v>
      </c>
      <c r="U59" s="316"/>
      <c r="V59" s="333">
        <v>192500</v>
      </c>
    </row>
    <row r="60" spans="1:22" ht="22.5" customHeight="1">
      <c r="A60" s="128"/>
      <c r="B60" s="129"/>
      <c r="C60" s="130"/>
      <c r="D60" s="143"/>
      <c r="E60" s="266"/>
      <c r="F60" s="402"/>
      <c r="G60" s="424"/>
      <c r="H60" s="408"/>
      <c r="I60" s="731">
        <v>0</v>
      </c>
      <c r="J60" s="72"/>
      <c r="K60" s="600"/>
      <c r="L60" s="711"/>
      <c r="M60" s="826" t="s">
        <v>35</v>
      </c>
      <c r="N60" s="316"/>
      <c r="O60" s="316">
        <f t="shared" si="8"/>
        <v>159500</v>
      </c>
      <c r="P60" s="352" t="s">
        <v>305</v>
      </c>
      <c r="Q60" s="353">
        <v>1</v>
      </c>
      <c r="R60" s="316"/>
      <c r="S60" s="316"/>
      <c r="T60" s="352" t="s">
        <v>312</v>
      </c>
      <c r="U60" s="316"/>
      <c r="V60" s="333">
        <v>159500</v>
      </c>
    </row>
    <row r="61" spans="1:22" ht="22.5" hidden="1" customHeight="1">
      <c r="A61" s="128"/>
      <c r="B61" s="129"/>
      <c r="C61" s="130"/>
      <c r="D61" s="143"/>
      <c r="E61" s="266"/>
      <c r="F61" s="402"/>
      <c r="G61" s="424"/>
      <c r="H61" s="408"/>
      <c r="I61" s="731">
        <v>0</v>
      </c>
      <c r="J61" s="72"/>
      <c r="K61" s="598"/>
      <c r="L61" s="711"/>
      <c r="M61" s="128" t="s">
        <v>188</v>
      </c>
      <c r="N61" s="316"/>
      <c r="O61" s="316">
        <f t="shared" si="8"/>
        <v>0</v>
      </c>
      <c r="P61" s="352" t="s">
        <v>305</v>
      </c>
      <c r="Q61" s="353">
        <v>2</v>
      </c>
      <c r="R61" s="316"/>
      <c r="S61" s="316"/>
      <c r="T61" s="352" t="s">
        <v>312</v>
      </c>
      <c r="U61" s="316"/>
      <c r="V61" s="333">
        <v>0</v>
      </c>
    </row>
    <row r="62" spans="1:22" ht="22.5" customHeight="1">
      <c r="A62" s="128"/>
      <c r="B62" s="129"/>
      <c r="C62" s="130"/>
      <c r="D62" s="143"/>
      <c r="E62" s="266"/>
      <c r="F62" s="402"/>
      <c r="G62" s="424"/>
      <c r="H62" s="408"/>
      <c r="I62" s="731">
        <v>0</v>
      </c>
      <c r="J62" s="72"/>
      <c r="K62" s="600"/>
      <c r="L62" s="605"/>
      <c r="M62" s="827" t="s">
        <v>304</v>
      </c>
      <c r="N62" s="316"/>
      <c r="O62" s="316">
        <f t="shared" si="8"/>
        <v>13450</v>
      </c>
      <c r="P62" s="352" t="s">
        <v>305</v>
      </c>
      <c r="Q62" s="353">
        <v>4</v>
      </c>
      <c r="R62" s="316"/>
      <c r="S62" s="316"/>
      <c r="T62" s="352" t="s">
        <v>312</v>
      </c>
      <c r="U62" s="316"/>
      <c r="V62" s="333">
        <v>53800</v>
      </c>
    </row>
    <row r="63" spans="1:22" ht="22.5" customHeight="1">
      <c r="A63" s="128"/>
      <c r="B63" s="129"/>
      <c r="C63" s="130"/>
      <c r="D63" s="143"/>
      <c r="E63" s="81"/>
      <c r="F63" s="402"/>
      <c r="G63" s="424"/>
      <c r="H63" s="408"/>
      <c r="I63" s="731"/>
      <c r="J63" s="72"/>
      <c r="K63" s="600"/>
      <c r="L63" s="597"/>
      <c r="M63" s="828" t="s">
        <v>231</v>
      </c>
      <c r="N63" s="751"/>
      <c r="O63" s="316">
        <f t="shared" si="8"/>
        <v>350000</v>
      </c>
      <c r="P63" s="352" t="s">
        <v>305</v>
      </c>
      <c r="Q63" s="353">
        <v>1</v>
      </c>
      <c r="R63" s="751"/>
      <c r="S63" s="751"/>
      <c r="T63" s="352" t="s">
        <v>312</v>
      </c>
      <c r="U63" s="751"/>
      <c r="V63" s="752">
        <v>350000</v>
      </c>
    </row>
    <row r="64" spans="1:22" ht="22.5" customHeight="1">
      <c r="A64" s="128"/>
      <c r="B64" s="129"/>
      <c r="C64" s="130"/>
      <c r="D64" s="143"/>
      <c r="E64" s="81"/>
      <c r="F64" s="402"/>
      <c r="G64" s="424"/>
      <c r="H64" s="408"/>
      <c r="I64" s="731"/>
      <c r="J64" s="72"/>
      <c r="K64" s="600"/>
      <c r="L64" s="597"/>
      <c r="M64" s="830" t="s">
        <v>335</v>
      </c>
      <c r="N64" s="712"/>
      <c r="O64" s="316">
        <f t="shared" si="8"/>
        <v>25000</v>
      </c>
      <c r="P64" s="352" t="s">
        <v>305</v>
      </c>
      <c r="Q64" s="353">
        <v>1</v>
      </c>
      <c r="R64" s="712"/>
      <c r="S64" s="712"/>
      <c r="T64" s="352" t="s">
        <v>312</v>
      </c>
      <c r="U64" s="712"/>
      <c r="V64" s="752">
        <v>25000</v>
      </c>
    </row>
    <row r="65" spans="1:22" ht="22.5" customHeight="1">
      <c r="A65" s="128"/>
      <c r="B65" s="129"/>
      <c r="C65" s="310" t="s">
        <v>210</v>
      </c>
      <c r="D65" s="311">
        <v>5400000</v>
      </c>
      <c r="E65" s="355">
        <f>V65</f>
        <v>2675640</v>
      </c>
      <c r="F65" s="401">
        <f t="shared" ref="F65:F111" si="9">E65-D65</f>
        <v>-2724360</v>
      </c>
      <c r="G65" s="425">
        <f t="shared" ref="G65:G111" si="10">F65/D65*100</f>
        <v>-50.451111111111111</v>
      </c>
      <c r="H65" s="409">
        <v>1500000</v>
      </c>
      <c r="I65" s="732">
        <f>I66</f>
        <v>0</v>
      </c>
      <c r="J65" s="304">
        <v>1175640</v>
      </c>
      <c r="K65" s="416">
        <v>0</v>
      </c>
      <c r="L65" s="312"/>
      <c r="M65" s="822" t="s">
        <v>202</v>
      </c>
      <c r="N65" s="315"/>
      <c r="O65" s="315"/>
      <c r="P65" s="315"/>
      <c r="Q65" s="315"/>
      <c r="R65" s="315"/>
      <c r="S65" s="315"/>
      <c r="T65" s="315"/>
      <c r="U65" s="315"/>
      <c r="V65" s="358">
        <f>SUM(V66:V67)</f>
        <v>2675640</v>
      </c>
    </row>
    <row r="66" spans="1:22" ht="22.5" customHeight="1">
      <c r="A66" s="128"/>
      <c r="B66" s="129"/>
      <c r="C66" s="130"/>
      <c r="D66" s="143"/>
      <c r="E66" s="266"/>
      <c r="F66" s="402"/>
      <c r="G66" s="424"/>
      <c r="H66" s="408"/>
      <c r="I66" s="731">
        <v>0</v>
      </c>
      <c r="J66" s="72"/>
      <c r="K66" s="415"/>
      <c r="M66" s="128" t="s">
        <v>385</v>
      </c>
      <c r="N66" s="316"/>
      <c r="O66" s="316">
        <f>V66/Q66</f>
        <v>264491</v>
      </c>
      <c r="P66" s="352" t="s">
        <v>305</v>
      </c>
      <c r="Q66" s="353">
        <v>10</v>
      </c>
      <c r="R66" s="316"/>
      <c r="S66" s="316"/>
      <c r="T66" s="352" t="s">
        <v>312</v>
      </c>
      <c r="U66" s="316"/>
      <c r="V66" s="333">
        <v>2644910</v>
      </c>
    </row>
    <row r="67" spans="1:22" ht="22.5" customHeight="1">
      <c r="A67" s="128"/>
      <c r="B67" s="129"/>
      <c r="C67" s="130"/>
      <c r="D67" s="143"/>
      <c r="E67" s="266"/>
      <c r="F67" s="402"/>
      <c r="G67" s="424"/>
      <c r="H67" s="408"/>
      <c r="I67" s="731"/>
      <c r="J67" s="12"/>
      <c r="K67" s="415"/>
      <c r="L67" s="801"/>
      <c r="M67" s="829" t="s">
        <v>302</v>
      </c>
      <c r="N67" s="266"/>
      <c r="O67" s="266">
        <f>V67/Q67</f>
        <v>15365</v>
      </c>
      <c r="P67" s="352" t="s">
        <v>305</v>
      </c>
      <c r="Q67" s="353">
        <v>2</v>
      </c>
      <c r="R67" s="266"/>
      <c r="S67" s="266"/>
      <c r="T67" s="352" t="s">
        <v>312</v>
      </c>
      <c r="U67" s="266"/>
      <c r="V67" s="333">
        <v>30730</v>
      </c>
    </row>
    <row r="68" spans="1:22" ht="26.25" hidden="1" customHeight="1">
      <c r="A68" s="128"/>
      <c r="B68" s="129"/>
      <c r="C68" s="310" t="s">
        <v>135</v>
      </c>
      <c r="D68" s="311">
        <v>0</v>
      </c>
      <c r="E68" s="355">
        <f>V68</f>
        <v>0</v>
      </c>
      <c r="F68" s="401">
        <f t="shared" si="9"/>
        <v>0</v>
      </c>
      <c r="G68" s="425">
        <v>0</v>
      </c>
      <c r="H68" s="409" t="e">
        <f>#REF!+#REF!+#REF!+#REF!+#REF!+#REF!+#REF!+#REF!</f>
        <v>#REF!</v>
      </c>
      <c r="I68" s="732" t="e">
        <f>#REF!</f>
        <v>#REF!</v>
      </c>
      <c r="J68" s="304" t="e">
        <f>#REF!</f>
        <v>#REF!</v>
      </c>
      <c r="K68" s="416" t="e">
        <f>#REF!</f>
        <v>#REF!</v>
      </c>
      <c r="L68" s="313"/>
      <c r="M68" s="822" t="s">
        <v>241</v>
      </c>
      <c r="N68" s="315"/>
      <c r="O68" s="315"/>
      <c r="P68" s="352" t="s">
        <v>305</v>
      </c>
      <c r="Q68" s="353">
        <v>11</v>
      </c>
      <c r="R68" s="315"/>
      <c r="S68" s="315"/>
      <c r="T68" s="352" t="s">
        <v>312</v>
      </c>
      <c r="U68" s="315"/>
      <c r="V68" s="358">
        <f>SUM(V69:V73)</f>
        <v>0</v>
      </c>
    </row>
    <row r="69" spans="1:22" ht="26.25" hidden="1" customHeight="1">
      <c r="A69" s="128"/>
      <c r="B69" s="129"/>
      <c r="C69" s="130"/>
      <c r="D69" s="143"/>
      <c r="E69" s="266"/>
      <c r="F69" s="402"/>
      <c r="G69" s="424"/>
      <c r="H69" s="408"/>
      <c r="I69" s="731">
        <v>0</v>
      </c>
      <c r="J69" s="72"/>
      <c r="K69" s="415"/>
      <c r="M69" s="128" t="s">
        <v>239</v>
      </c>
      <c r="N69" s="326"/>
      <c r="O69" s="326"/>
      <c r="P69" s="352" t="s">
        <v>305</v>
      </c>
      <c r="Q69" s="353">
        <v>11</v>
      </c>
      <c r="R69" s="326"/>
      <c r="S69" s="326"/>
      <c r="T69" s="352" t="s">
        <v>312</v>
      </c>
      <c r="U69" s="326"/>
      <c r="V69" s="395">
        <f t="shared" ref="V69:V73" si="11">O69*Q69</f>
        <v>0</v>
      </c>
    </row>
    <row r="70" spans="1:22" ht="26.25" hidden="1" customHeight="1">
      <c r="A70" s="128"/>
      <c r="B70" s="129"/>
      <c r="C70" s="130"/>
      <c r="D70" s="143"/>
      <c r="E70" s="266"/>
      <c r="F70" s="402"/>
      <c r="G70" s="424"/>
      <c r="H70" s="408"/>
      <c r="I70" s="731">
        <v>0</v>
      </c>
      <c r="J70" s="72"/>
      <c r="K70" s="415"/>
      <c r="M70" s="818" t="s">
        <v>374</v>
      </c>
      <c r="N70" s="326"/>
      <c r="O70" s="326"/>
      <c r="P70" s="352" t="s">
        <v>305</v>
      </c>
      <c r="Q70" s="353">
        <v>11</v>
      </c>
      <c r="R70" s="326"/>
      <c r="S70" s="326"/>
      <c r="T70" s="352" t="s">
        <v>312</v>
      </c>
      <c r="U70" s="326"/>
      <c r="V70" s="395">
        <f t="shared" si="11"/>
        <v>0</v>
      </c>
    </row>
    <row r="71" spans="1:22" ht="26.25" hidden="1" customHeight="1">
      <c r="A71" s="128"/>
      <c r="B71" s="129"/>
      <c r="C71" s="130"/>
      <c r="D71" s="143"/>
      <c r="E71" s="266"/>
      <c r="F71" s="402"/>
      <c r="G71" s="424"/>
      <c r="H71" s="408"/>
      <c r="I71" s="731">
        <v>0</v>
      </c>
      <c r="J71" s="72"/>
      <c r="K71" s="415"/>
      <c r="M71" s="818" t="s">
        <v>97</v>
      </c>
      <c r="N71" s="326"/>
      <c r="O71" s="326"/>
      <c r="P71" s="352" t="s">
        <v>305</v>
      </c>
      <c r="Q71" s="353">
        <v>11</v>
      </c>
      <c r="R71" s="326"/>
      <c r="S71" s="326"/>
      <c r="T71" s="352" t="s">
        <v>312</v>
      </c>
      <c r="U71" s="326"/>
      <c r="V71" s="395">
        <f t="shared" si="11"/>
        <v>0</v>
      </c>
    </row>
    <row r="72" spans="1:22" ht="26.25" hidden="1" customHeight="1">
      <c r="A72" s="128"/>
      <c r="B72" s="129"/>
      <c r="C72" s="130"/>
      <c r="D72" s="143"/>
      <c r="E72" s="266"/>
      <c r="F72" s="402"/>
      <c r="G72" s="424"/>
      <c r="H72" s="408"/>
      <c r="I72" s="731">
        <v>0</v>
      </c>
      <c r="J72" s="72"/>
      <c r="K72" s="415"/>
      <c r="M72" s="818" t="s">
        <v>129</v>
      </c>
      <c r="N72" s="326"/>
      <c r="O72" s="326"/>
      <c r="P72" s="352" t="s">
        <v>305</v>
      </c>
      <c r="Q72" s="353">
        <v>11</v>
      </c>
      <c r="R72" s="326"/>
      <c r="S72" s="326"/>
      <c r="T72" s="352" t="s">
        <v>312</v>
      </c>
      <c r="U72" s="326"/>
      <c r="V72" s="395">
        <f>O72*Q72</f>
        <v>0</v>
      </c>
    </row>
    <row r="73" spans="1:22" ht="26.25" hidden="1" customHeight="1">
      <c r="A73" s="128"/>
      <c r="B73" s="129"/>
      <c r="C73" s="130"/>
      <c r="D73" s="143"/>
      <c r="E73" s="266"/>
      <c r="F73" s="402"/>
      <c r="G73" s="424"/>
      <c r="H73" s="408"/>
      <c r="I73" s="731">
        <v>0</v>
      </c>
      <c r="J73" s="72"/>
      <c r="K73" s="415"/>
      <c r="M73" s="818" t="s">
        <v>327</v>
      </c>
      <c r="N73" s="326"/>
      <c r="O73" s="326"/>
      <c r="P73" s="352" t="s">
        <v>305</v>
      </c>
      <c r="Q73" s="353">
        <v>11</v>
      </c>
      <c r="R73" s="326"/>
      <c r="S73" s="326"/>
      <c r="T73" s="352" t="s">
        <v>312</v>
      </c>
      <c r="U73" s="326"/>
      <c r="V73" s="395">
        <f t="shared" si="11"/>
        <v>0</v>
      </c>
    </row>
    <row r="74" spans="1:22" ht="22.5" customHeight="1">
      <c r="A74" s="128"/>
      <c r="B74" s="129"/>
      <c r="C74" s="310" t="s">
        <v>307</v>
      </c>
      <c r="D74" s="311">
        <v>920000</v>
      </c>
      <c r="E74" s="355">
        <f>V74</f>
        <v>190000</v>
      </c>
      <c r="F74" s="401">
        <f t="shared" si="9"/>
        <v>-730000</v>
      </c>
      <c r="G74" s="425">
        <f t="shared" si="10"/>
        <v>-79.347826086956516</v>
      </c>
      <c r="H74" s="409">
        <v>0</v>
      </c>
      <c r="I74" s="732">
        <f>I75</f>
        <v>0</v>
      </c>
      <c r="J74" s="304">
        <v>190000</v>
      </c>
      <c r="K74" s="416">
        <v>0</v>
      </c>
      <c r="L74" s="312"/>
      <c r="M74" s="822" t="s">
        <v>127</v>
      </c>
      <c r="N74" s="315"/>
      <c r="O74" s="315"/>
      <c r="P74" s="315"/>
      <c r="Q74" s="315"/>
      <c r="R74" s="315"/>
      <c r="S74" s="315"/>
      <c r="T74" s="315"/>
      <c r="U74" s="315"/>
      <c r="V74" s="358">
        <f>SUM(V75:V76)</f>
        <v>190000</v>
      </c>
    </row>
    <row r="75" spans="1:22" ht="22.5" customHeight="1">
      <c r="A75" s="128"/>
      <c r="B75" s="129"/>
      <c r="C75" s="130"/>
      <c r="D75" s="143"/>
      <c r="E75" s="266"/>
      <c r="F75" s="402"/>
      <c r="G75" s="424"/>
      <c r="H75" s="408"/>
      <c r="I75" s="731">
        <v>0</v>
      </c>
      <c r="J75" s="72"/>
      <c r="K75" s="415"/>
      <c r="M75" s="128" t="s">
        <v>209</v>
      </c>
      <c r="N75" s="316"/>
      <c r="O75" s="316">
        <f>V75/Q75</f>
        <v>31666.666666666668</v>
      </c>
      <c r="P75" s="319" t="s">
        <v>305</v>
      </c>
      <c r="Q75" s="356">
        <v>6</v>
      </c>
      <c r="R75" s="316"/>
      <c r="S75" s="316"/>
      <c r="T75" s="352" t="s">
        <v>312</v>
      </c>
      <c r="U75" s="316"/>
      <c r="V75" s="333">
        <v>190000</v>
      </c>
    </row>
    <row r="76" spans="1:22" ht="26.25" hidden="1" customHeight="1">
      <c r="A76" s="128"/>
      <c r="B76" s="129"/>
      <c r="C76" s="130"/>
      <c r="D76" s="143"/>
      <c r="E76" s="81"/>
      <c r="F76" s="402"/>
      <c r="G76" s="424"/>
      <c r="H76" s="410"/>
      <c r="I76" s="731"/>
      <c r="J76" s="72"/>
      <c r="K76" s="415"/>
      <c r="M76" s="830" t="s">
        <v>208</v>
      </c>
      <c r="N76" s="682"/>
      <c r="O76" s="316">
        <f>V76/1</f>
        <v>0</v>
      </c>
      <c r="P76" s="319" t="s">
        <v>305</v>
      </c>
      <c r="Q76" s="356">
        <v>0</v>
      </c>
      <c r="R76" s="683"/>
      <c r="S76" s="683"/>
      <c r="T76" s="352" t="s">
        <v>312</v>
      </c>
      <c r="U76" s="683"/>
      <c r="V76" s="753"/>
    </row>
    <row r="77" spans="1:22" ht="26.25" hidden="1" customHeight="1">
      <c r="A77" s="128"/>
      <c r="B77" s="129"/>
      <c r="C77" s="310" t="s">
        <v>146</v>
      </c>
      <c r="D77" s="311">
        <v>0</v>
      </c>
      <c r="E77" s="355">
        <f>V77</f>
        <v>0</v>
      </c>
      <c r="F77" s="401">
        <f t="shared" si="9"/>
        <v>0</v>
      </c>
      <c r="G77" s="425">
        <v>0</v>
      </c>
      <c r="H77" s="409" t="e">
        <f>#REF!+#REF!+#REF!+#REF!+#REF!+#REF!+#REF!+#REF!</f>
        <v>#REF!</v>
      </c>
      <c r="I77" s="732" t="e">
        <f>#REF!</f>
        <v>#REF!</v>
      </c>
      <c r="J77" s="304" t="e">
        <f>#REF!</f>
        <v>#REF!</v>
      </c>
      <c r="K77" s="416" t="e">
        <f>#REF!</f>
        <v>#REF!</v>
      </c>
      <c r="L77" s="313"/>
      <c r="M77" s="831" t="s">
        <v>158</v>
      </c>
      <c r="N77" s="397"/>
      <c r="O77" s="316">
        <v>30000</v>
      </c>
      <c r="P77" s="319" t="s">
        <v>305</v>
      </c>
      <c r="Q77" s="356">
        <v>1</v>
      </c>
      <c r="R77" s="314"/>
      <c r="S77" s="314"/>
      <c r="T77" s="352" t="s">
        <v>312</v>
      </c>
      <c r="U77" s="314"/>
      <c r="V77" s="358">
        <f>SUM(V78:V80)</f>
        <v>0</v>
      </c>
    </row>
    <row r="78" spans="1:22" ht="26.25" hidden="1" customHeight="1">
      <c r="A78" s="128"/>
      <c r="B78" s="129"/>
      <c r="C78" s="130"/>
      <c r="D78" s="143"/>
      <c r="E78" s="266"/>
      <c r="F78" s="402"/>
      <c r="G78" s="424"/>
      <c r="H78" s="410"/>
      <c r="I78" s="731">
        <v>0</v>
      </c>
      <c r="J78" s="72"/>
      <c r="K78" s="415"/>
      <c r="M78" s="128" t="s">
        <v>112</v>
      </c>
      <c r="N78" s="316"/>
      <c r="O78" s="316">
        <v>30000</v>
      </c>
      <c r="P78" s="319" t="s">
        <v>305</v>
      </c>
      <c r="Q78" s="356">
        <v>1</v>
      </c>
      <c r="R78" s="316"/>
      <c r="S78" s="316"/>
      <c r="T78" s="352" t="s">
        <v>312</v>
      </c>
      <c r="U78" s="316"/>
      <c r="V78" s="396"/>
    </row>
    <row r="79" spans="1:22" ht="26.25" hidden="1" customHeight="1">
      <c r="A79" s="128"/>
      <c r="B79" s="129"/>
      <c r="C79" s="130"/>
      <c r="D79" s="143"/>
      <c r="E79" s="266"/>
      <c r="F79" s="402"/>
      <c r="G79" s="424"/>
      <c r="H79" s="410"/>
      <c r="I79" s="731">
        <v>0</v>
      </c>
      <c r="J79" s="72"/>
      <c r="K79" s="415"/>
      <c r="M79" s="128" t="s">
        <v>113</v>
      </c>
      <c r="N79" s="316"/>
      <c r="O79" s="316">
        <v>30000</v>
      </c>
      <c r="P79" s="319" t="s">
        <v>305</v>
      </c>
      <c r="Q79" s="356">
        <v>1</v>
      </c>
      <c r="R79" s="316"/>
      <c r="S79" s="316"/>
      <c r="T79" s="352" t="s">
        <v>312</v>
      </c>
      <c r="U79" s="316"/>
      <c r="V79" s="396"/>
    </row>
    <row r="80" spans="1:22" ht="26.25" hidden="1" customHeight="1">
      <c r="A80" s="128"/>
      <c r="B80" s="129"/>
      <c r="C80" s="130"/>
      <c r="D80" s="143"/>
      <c r="E80" s="266"/>
      <c r="F80" s="402"/>
      <c r="G80" s="424"/>
      <c r="H80" s="410"/>
      <c r="I80" s="731">
        <v>0</v>
      </c>
      <c r="J80" s="72"/>
      <c r="K80" s="415"/>
      <c r="M80" s="128" t="s">
        <v>146</v>
      </c>
      <c r="N80" s="316"/>
      <c r="O80" s="316">
        <v>30000</v>
      </c>
      <c r="P80" s="319" t="s">
        <v>305</v>
      </c>
      <c r="Q80" s="356">
        <v>1</v>
      </c>
      <c r="R80" s="326"/>
      <c r="S80" s="326"/>
      <c r="T80" s="352" t="s">
        <v>312</v>
      </c>
      <c r="U80" s="326"/>
      <c r="V80" s="395"/>
    </row>
    <row r="81" spans="1:22" ht="24.75" customHeight="1">
      <c r="A81" s="134" t="s">
        <v>247</v>
      </c>
      <c r="B81" s="135" t="s">
        <v>310</v>
      </c>
      <c r="C81" s="136"/>
      <c r="D81" s="145">
        <f>D82</f>
        <v>1400000</v>
      </c>
      <c r="E81" s="268">
        <f>E82</f>
        <v>535000</v>
      </c>
      <c r="F81" s="403">
        <f t="shared" si="9"/>
        <v>-865000</v>
      </c>
      <c r="G81" s="426">
        <f t="shared" si="10"/>
        <v>-61.785714285714292</v>
      </c>
      <c r="H81" s="412">
        <f>H82</f>
        <v>440000</v>
      </c>
      <c r="I81" s="844">
        <f t="shared" ref="I81:K81" si="12">I82</f>
        <v>0</v>
      </c>
      <c r="J81" s="137">
        <f t="shared" si="12"/>
        <v>95000</v>
      </c>
      <c r="K81" s="418">
        <f t="shared" si="12"/>
        <v>0</v>
      </c>
      <c r="L81" s="141"/>
      <c r="M81" s="832" t="s">
        <v>100</v>
      </c>
      <c r="N81" s="373"/>
      <c r="O81" s="374"/>
      <c r="P81" s="373"/>
      <c r="Q81" s="373"/>
      <c r="R81" s="373"/>
      <c r="S81" s="373"/>
      <c r="T81" s="373"/>
      <c r="U81" s="373"/>
      <c r="V81" s="375">
        <f>V82</f>
        <v>535000</v>
      </c>
    </row>
    <row r="82" spans="1:22" ht="24.75" customHeight="1">
      <c r="A82" s="128"/>
      <c r="B82" s="131" t="s">
        <v>298</v>
      </c>
      <c r="C82" s="132" t="s">
        <v>267</v>
      </c>
      <c r="D82" s="144">
        <f>SUM(D83+D84+D91)</f>
        <v>1400000</v>
      </c>
      <c r="E82" s="259">
        <f>SUM(E83:E91)</f>
        <v>535000</v>
      </c>
      <c r="F82" s="400">
        <f t="shared" si="9"/>
        <v>-865000</v>
      </c>
      <c r="G82" s="423">
        <f t="shared" si="10"/>
        <v>-61.785714285714292</v>
      </c>
      <c r="H82" s="411">
        <f>SUM(H83+H91)</f>
        <v>440000</v>
      </c>
      <c r="I82" s="609">
        <f t="shared" ref="I82:K82" si="13">SUM(I83+I91)</f>
        <v>0</v>
      </c>
      <c r="J82" s="133">
        <f t="shared" si="13"/>
        <v>95000</v>
      </c>
      <c r="K82" s="411">
        <f t="shared" si="13"/>
        <v>0</v>
      </c>
      <c r="L82" s="755"/>
      <c r="M82" s="820" t="s">
        <v>142</v>
      </c>
      <c r="N82" s="376"/>
      <c r="O82" s="377"/>
      <c r="P82" s="376"/>
      <c r="Q82" s="376"/>
      <c r="R82" s="376"/>
      <c r="S82" s="376"/>
      <c r="T82" s="376"/>
      <c r="U82" s="376"/>
      <c r="V82" s="378">
        <f>SUM(V83:V84,V91)</f>
        <v>535000</v>
      </c>
    </row>
    <row r="83" spans="1:22" ht="26.25" hidden="1" customHeight="1">
      <c r="A83" s="128"/>
      <c r="B83" s="129"/>
      <c r="C83" s="310" t="s">
        <v>298</v>
      </c>
      <c r="D83" s="311">
        <v>0</v>
      </c>
      <c r="E83" s="355">
        <f>V83</f>
        <v>0</v>
      </c>
      <c r="F83" s="401">
        <f t="shared" si="9"/>
        <v>0</v>
      </c>
      <c r="G83" s="425">
        <v>0</v>
      </c>
      <c r="H83" s="409">
        <v>0</v>
      </c>
      <c r="I83" s="611">
        <f>I91</f>
        <v>0</v>
      </c>
      <c r="J83" s="304">
        <v>0</v>
      </c>
      <c r="K83" s="416">
        <v>0</v>
      </c>
      <c r="L83" s="312"/>
      <c r="M83" s="833" t="s">
        <v>154</v>
      </c>
      <c r="N83" s="314"/>
      <c r="O83" s="314"/>
      <c r="P83" s="314"/>
      <c r="Q83" s="314"/>
      <c r="R83" s="314"/>
      <c r="S83" s="314"/>
      <c r="T83" s="314"/>
      <c r="U83" s="314"/>
      <c r="V83" s="357">
        <v>0</v>
      </c>
    </row>
    <row r="84" spans="1:22" ht="26.25" hidden="1" customHeight="1">
      <c r="A84" s="128"/>
      <c r="B84" s="129"/>
      <c r="C84" s="310" t="s">
        <v>236</v>
      </c>
      <c r="D84" s="311">
        <v>0</v>
      </c>
      <c r="E84" s="355">
        <f>V84</f>
        <v>0</v>
      </c>
      <c r="F84" s="401">
        <f t="shared" si="9"/>
        <v>0</v>
      </c>
      <c r="G84" s="425" t="e">
        <f t="shared" si="10"/>
        <v>#DIV/0!</v>
      </c>
      <c r="H84" s="409" t="e">
        <f>#REF!+#REF!+#REF!+#REF!+#REF!+#REF!+#REF!+#REF!</f>
        <v>#REF!</v>
      </c>
      <c r="I84" s="732" t="e">
        <f>#REF!</f>
        <v>#REF!</v>
      </c>
      <c r="J84" s="304" t="e">
        <f>#REF!</f>
        <v>#REF!</v>
      </c>
      <c r="K84" s="416" t="e">
        <f>#REF!</f>
        <v>#REF!</v>
      </c>
      <c r="L84" s="313"/>
      <c r="M84" s="822" t="s">
        <v>116</v>
      </c>
      <c r="N84" s="315"/>
      <c r="O84" s="315"/>
      <c r="P84" s="315"/>
      <c r="Q84" s="315"/>
      <c r="R84" s="315"/>
      <c r="S84" s="315"/>
      <c r="T84" s="315"/>
      <c r="U84" s="315"/>
      <c r="V84" s="358">
        <f>SUM(V85:V90)</f>
        <v>0</v>
      </c>
    </row>
    <row r="85" spans="1:22" ht="26.25" hidden="1" customHeight="1">
      <c r="A85" s="128"/>
      <c r="B85" s="129"/>
      <c r="C85" s="130"/>
      <c r="D85" s="143"/>
      <c r="E85" s="266"/>
      <c r="F85" s="402"/>
      <c r="G85" s="424"/>
      <c r="H85" s="408"/>
      <c r="I85" s="731">
        <v>0</v>
      </c>
      <c r="J85" s="72"/>
      <c r="K85" s="415"/>
      <c r="M85" s="128"/>
      <c r="N85" s="326"/>
      <c r="O85" s="326"/>
      <c r="P85" s="352" t="s">
        <v>305</v>
      </c>
      <c r="Q85" s="353">
        <v>0</v>
      </c>
      <c r="R85" s="326"/>
      <c r="S85" s="326"/>
      <c r="T85" s="352" t="s">
        <v>312</v>
      </c>
      <c r="U85" s="326"/>
      <c r="V85" s="395">
        <f t="shared" ref="V85:V89" si="14">O85*Q85</f>
        <v>0</v>
      </c>
    </row>
    <row r="86" spans="1:22" ht="26.25" hidden="1" customHeight="1">
      <c r="A86" s="128"/>
      <c r="B86" s="129"/>
      <c r="C86" s="130"/>
      <c r="D86" s="143"/>
      <c r="E86" s="266"/>
      <c r="F86" s="402"/>
      <c r="G86" s="424"/>
      <c r="H86" s="408"/>
      <c r="I86" s="731">
        <v>0</v>
      </c>
      <c r="J86" s="72"/>
      <c r="K86" s="415"/>
      <c r="M86" s="818"/>
      <c r="N86" s="326"/>
      <c r="O86" s="326"/>
      <c r="P86" s="352" t="s">
        <v>305</v>
      </c>
      <c r="Q86" s="353">
        <v>0</v>
      </c>
      <c r="R86" s="326"/>
      <c r="S86" s="326"/>
      <c r="T86" s="352" t="s">
        <v>312</v>
      </c>
      <c r="U86" s="326"/>
      <c r="V86" s="395">
        <f t="shared" si="14"/>
        <v>0</v>
      </c>
    </row>
    <row r="87" spans="1:22" ht="26.25" hidden="1" customHeight="1">
      <c r="A87" s="128"/>
      <c r="B87" s="129"/>
      <c r="C87" s="130"/>
      <c r="D87" s="143"/>
      <c r="E87" s="266"/>
      <c r="F87" s="402"/>
      <c r="G87" s="424"/>
      <c r="H87" s="408"/>
      <c r="I87" s="731">
        <v>0</v>
      </c>
      <c r="J87" s="72"/>
      <c r="K87" s="415"/>
      <c r="M87" s="818"/>
      <c r="N87" s="326"/>
      <c r="O87" s="326"/>
      <c r="P87" s="352" t="s">
        <v>305</v>
      </c>
      <c r="Q87" s="353">
        <v>0</v>
      </c>
      <c r="R87" s="326"/>
      <c r="S87" s="326"/>
      <c r="T87" s="352" t="s">
        <v>312</v>
      </c>
      <c r="U87" s="326"/>
      <c r="V87" s="395">
        <f t="shared" si="14"/>
        <v>0</v>
      </c>
    </row>
    <row r="88" spans="1:22" ht="26.25" hidden="1" customHeight="1">
      <c r="A88" s="128"/>
      <c r="B88" s="129"/>
      <c r="C88" s="130"/>
      <c r="D88" s="143"/>
      <c r="E88" s="266"/>
      <c r="F88" s="402"/>
      <c r="G88" s="424"/>
      <c r="H88" s="408"/>
      <c r="I88" s="731">
        <v>0</v>
      </c>
      <c r="J88" s="72"/>
      <c r="K88" s="415"/>
      <c r="M88" s="818"/>
      <c r="N88" s="326"/>
      <c r="O88" s="326"/>
      <c r="P88" s="352" t="s">
        <v>305</v>
      </c>
      <c r="Q88" s="353">
        <v>0</v>
      </c>
      <c r="R88" s="326"/>
      <c r="S88" s="326"/>
      <c r="T88" s="352" t="s">
        <v>312</v>
      </c>
      <c r="U88" s="326"/>
      <c r="V88" s="395">
        <f>O88*Q88</f>
        <v>0</v>
      </c>
    </row>
    <row r="89" spans="1:22" ht="26.25" hidden="1" customHeight="1">
      <c r="A89" s="128"/>
      <c r="B89" s="129"/>
      <c r="C89" s="130"/>
      <c r="D89" s="143"/>
      <c r="E89" s="266"/>
      <c r="F89" s="402"/>
      <c r="G89" s="424"/>
      <c r="H89" s="408"/>
      <c r="I89" s="731">
        <v>0</v>
      </c>
      <c r="J89" s="72"/>
      <c r="K89" s="415"/>
      <c r="M89" s="128"/>
      <c r="N89" s="326"/>
      <c r="O89" s="326"/>
      <c r="P89" s="352" t="s">
        <v>305</v>
      </c>
      <c r="Q89" s="353">
        <v>0</v>
      </c>
      <c r="R89" s="326"/>
      <c r="S89" s="326"/>
      <c r="T89" s="352" t="s">
        <v>312</v>
      </c>
      <c r="U89" s="326"/>
      <c r="V89" s="395">
        <f t="shared" si="14"/>
        <v>0</v>
      </c>
    </row>
    <row r="90" spans="1:22" ht="26.25" hidden="1" customHeight="1">
      <c r="A90" s="128"/>
      <c r="B90" s="129"/>
      <c r="C90" s="130"/>
      <c r="D90" s="143"/>
      <c r="E90" s="266"/>
      <c r="F90" s="402"/>
      <c r="G90" s="424"/>
      <c r="H90" s="408"/>
      <c r="I90" s="731">
        <v>0</v>
      </c>
      <c r="J90" s="72"/>
      <c r="K90" s="415"/>
      <c r="M90" s="128"/>
      <c r="N90" s="326"/>
      <c r="O90" s="326"/>
      <c r="P90" s="352" t="s">
        <v>305</v>
      </c>
      <c r="Q90" s="353">
        <v>0</v>
      </c>
      <c r="R90" s="326"/>
      <c r="S90" s="326"/>
      <c r="T90" s="352" t="s">
        <v>312</v>
      </c>
      <c r="U90" s="326"/>
      <c r="V90" s="395">
        <f>O90*Q90</f>
        <v>0</v>
      </c>
    </row>
    <row r="91" spans="1:22" ht="22.5" customHeight="1">
      <c r="A91" s="128"/>
      <c r="B91" s="129"/>
      <c r="C91" s="310" t="s">
        <v>178</v>
      </c>
      <c r="D91" s="311">
        <v>1400000</v>
      </c>
      <c r="E91" s="355">
        <f>V91</f>
        <v>535000</v>
      </c>
      <c r="F91" s="401">
        <f t="shared" si="9"/>
        <v>-865000</v>
      </c>
      <c r="G91" s="425">
        <f t="shared" si="10"/>
        <v>-61.785714285714292</v>
      </c>
      <c r="H91" s="409">
        <v>440000</v>
      </c>
      <c r="I91" s="732">
        <f>SUM(I92:I93)</f>
        <v>0</v>
      </c>
      <c r="J91" s="304">
        <v>95000</v>
      </c>
      <c r="K91" s="416">
        <v>0</v>
      </c>
      <c r="L91" s="312"/>
      <c r="M91" s="1008" t="s">
        <v>364</v>
      </c>
      <c r="N91" s="1009"/>
      <c r="O91" s="315"/>
      <c r="P91" s="315"/>
      <c r="Q91" s="315"/>
      <c r="R91" s="315"/>
      <c r="S91" s="315"/>
      <c r="T91" s="315"/>
      <c r="U91" s="315"/>
      <c r="V91" s="358">
        <f>SUM(V92:V95)</f>
        <v>535000</v>
      </c>
    </row>
    <row r="92" spans="1:22" ht="22.5" customHeight="1">
      <c r="A92" s="128"/>
      <c r="B92" s="129"/>
      <c r="C92" s="130"/>
      <c r="D92" s="143"/>
      <c r="E92" s="266"/>
      <c r="F92" s="402"/>
      <c r="G92" s="734"/>
      <c r="H92" s="410"/>
      <c r="I92" s="731">
        <v>0</v>
      </c>
      <c r="J92" s="82"/>
      <c r="K92" s="415"/>
      <c r="L92" s="718"/>
      <c r="M92" s="128" t="s">
        <v>216</v>
      </c>
      <c r="N92" s="316"/>
      <c r="O92" s="316">
        <f>V92/Q92</f>
        <v>116600</v>
      </c>
      <c r="P92" s="352" t="s">
        <v>305</v>
      </c>
      <c r="Q92" s="353">
        <v>2</v>
      </c>
      <c r="R92" s="316"/>
      <c r="S92" s="316"/>
      <c r="T92" s="352" t="s">
        <v>312</v>
      </c>
      <c r="U92" s="316"/>
      <c r="V92" s="333">
        <v>233200</v>
      </c>
    </row>
    <row r="93" spans="1:22" ht="22.5" customHeight="1">
      <c r="A93" s="128"/>
      <c r="B93" s="129"/>
      <c r="C93" s="130"/>
      <c r="D93" s="143"/>
      <c r="E93" s="266"/>
      <c r="F93" s="402"/>
      <c r="G93" s="424"/>
      <c r="H93" s="717"/>
      <c r="I93" s="754">
        <v>0</v>
      </c>
      <c r="J93" s="82"/>
      <c r="K93" s="415"/>
      <c r="L93" s="718"/>
      <c r="M93" s="818" t="s">
        <v>233</v>
      </c>
      <c r="N93" s="326"/>
      <c r="O93" s="316">
        <f t="shared" ref="O93:O95" si="15">V93/Q93</f>
        <v>103400</v>
      </c>
      <c r="P93" s="352" t="s">
        <v>305</v>
      </c>
      <c r="Q93" s="353">
        <v>2</v>
      </c>
      <c r="R93" s="326"/>
      <c r="S93" s="326"/>
      <c r="T93" s="352" t="s">
        <v>312</v>
      </c>
      <c r="U93" s="326"/>
      <c r="V93" s="333">
        <v>206800</v>
      </c>
    </row>
    <row r="94" spans="1:22" ht="22.5" customHeight="1">
      <c r="A94" s="128"/>
      <c r="B94" s="129"/>
      <c r="C94" s="130"/>
      <c r="D94" s="143"/>
      <c r="E94" s="81"/>
      <c r="F94" s="402"/>
      <c r="G94" s="424"/>
      <c r="H94" s="717"/>
      <c r="I94" s="754"/>
      <c r="J94" s="595"/>
      <c r="K94" s="754"/>
      <c r="M94" s="818" t="s">
        <v>145</v>
      </c>
      <c r="N94" s="852"/>
      <c r="O94" s="316">
        <f t="shared" si="15"/>
        <v>40000</v>
      </c>
      <c r="P94" s="352" t="s">
        <v>305</v>
      </c>
      <c r="Q94" s="353">
        <v>1</v>
      </c>
      <c r="R94" s="326"/>
      <c r="S94" s="852"/>
      <c r="T94" s="352" t="s">
        <v>312</v>
      </c>
      <c r="U94" s="326"/>
      <c r="V94" s="853">
        <v>40000</v>
      </c>
    </row>
    <row r="95" spans="1:22" ht="22.5" customHeight="1">
      <c r="A95" s="128"/>
      <c r="B95" s="129"/>
      <c r="C95" s="130"/>
      <c r="D95" s="143"/>
      <c r="E95" s="81"/>
      <c r="F95" s="402"/>
      <c r="G95" s="424"/>
      <c r="H95" s="717"/>
      <c r="I95" s="754"/>
      <c r="J95" s="595"/>
      <c r="K95" s="754"/>
      <c r="M95" s="854" t="s">
        <v>337</v>
      </c>
      <c r="N95" s="852"/>
      <c r="O95" s="316">
        <f t="shared" si="15"/>
        <v>55000</v>
      </c>
      <c r="P95" s="352" t="s">
        <v>305</v>
      </c>
      <c r="Q95" s="353">
        <v>1</v>
      </c>
      <c r="R95" s="326"/>
      <c r="S95" s="852"/>
      <c r="T95" s="352" t="s">
        <v>312</v>
      </c>
      <c r="U95" s="326"/>
      <c r="V95" s="853">
        <v>55000</v>
      </c>
    </row>
    <row r="96" spans="1:22" ht="25.5" customHeight="1">
      <c r="A96" s="134" t="s">
        <v>255</v>
      </c>
      <c r="B96" s="135" t="s">
        <v>310</v>
      </c>
      <c r="C96" s="136"/>
      <c r="D96" s="145">
        <f>SUM(D97+D110)</f>
        <v>22267000</v>
      </c>
      <c r="E96" s="268">
        <f>SUM(E97,E110)</f>
        <v>11362780</v>
      </c>
      <c r="F96" s="403">
        <f t="shared" si="9"/>
        <v>-10904220</v>
      </c>
      <c r="G96" s="426">
        <f t="shared" si="10"/>
        <v>-48.970314815646468</v>
      </c>
      <c r="H96" s="412">
        <f>SUM(H97,H110)</f>
        <v>7932500</v>
      </c>
      <c r="I96" s="610" t="e">
        <f t="shared" ref="I96:K96" si="16">SUM(I97,I110)</f>
        <v>#REF!</v>
      </c>
      <c r="J96" s="719">
        <f t="shared" si="16"/>
        <v>3430280</v>
      </c>
      <c r="K96" s="720">
        <f t="shared" si="16"/>
        <v>0</v>
      </c>
      <c r="L96" s="122"/>
      <c r="M96" s="834" t="s">
        <v>84</v>
      </c>
      <c r="N96" s="271"/>
      <c r="O96" s="343"/>
      <c r="P96" s="271"/>
      <c r="Q96" s="271"/>
      <c r="R96" s="271"/>
      <c r="S96" s="271"/>
      <c r="T96" s="271"/>
      <c r="U96" s="271"/>
      <c r="V96" s="334">
        <f>SUM(V97,V110)</f>
        <v>11362780</v>
      </c>
    </row>
    <row r="97" spans="1:24" ht="27.75" customHeight="1">
      <c r="A97" s="128"/>
      <c r="B97" s="131" t="s">
        <v>311</v>
      </c>
      <c r="C97" s="132" t="s">
        <v>267</v>
      </c>
      <c r="D97" s="144">
        <f>SUM(D98+D100+D103+D105+D107)</f>
        <v>17400000</v>
      </c>
      <c r="E97" s="259">
        <f>SUM(E98:E107)</f>
        <v>9485110</v>
      </c>
      <c r="F97" s="400">
        <f t="shared" si="9"/>
        <v>-7914890</v>
      </c>
      <c r="G97" s="423">
        <f t="shared" si="10"/>
        <v>-45.487873563218386</v>
      </c>
      <c r="H97" s="411">
        <f>SUM(H98+H100+H105+H107)</f>
        <v>7150000</v>
      </c>
      <c r="I97" s="609">
        <f t="shared" ref="I97:K97" si="17">SUM(I98+I100+I105+I107)</f>
        <v>0</v>
      </c>
      <c r="J97" s="133">
        <f t="shared" si="17"/>
        <v>2335110</v>
      </c>
      <c r="K97" s="411">
        <f t="shared" si="17"/>
        <v>0</v>
      </c>
      <c r="L97" s="140"/>
      <c r="M97" s="835" t="s">
        <v>152</v>
      </c>
      <c r="N97" s="792"/>
      <c r="O97" s="344"/>
      <c r="P97" s="792"/>
      <c r="Q97" s="792"/>
      <c r="R97" s="792"/>
      <c r="S97" s="792"/>
      <c r="T97" s="792"/>
      <c r="U97" s="792"/>
      <c r="V97" s="335">
        <f>SUM(V98,V100,V103,V107,V105)</f>
        <v>9485110</v>
      </c>
    </row>
    <row r="98" spans="1:24" ht="23.25" customHeight="1">
      <c r="A98" s="128"/>
      <c r="B98" s="129"/>
      <c r="C98" s="310" t="s">
        <v>321</v>
      </c>
      <c r="D98" s="311">
        <v>8820000</v>
      </c>
      <c r="E98" s="355">
        <f>V98</f>
        <v>6071000</v>
      </c>
      <c r="F98" s="401">
        <f t="shared" si="9"/>
        <v>-2749000</v>
      </c>
      <c r="G98" s="425">
        <f t="shared" si="10"/>
        <v>-31.167800453514737</v>
      </c>
      <c r="H98" s="409">
        <v>4000000</v>
      </c>
      <c r="I98" s="611">
        <f>I99</f>
        <v>0</v>
      </c>
      <c r="J98" s="304">
        <v>2071000</v>
      </c>
      <c r="K98" s="416">
        <v>0</v>
      </c>
      <c r="L98" s="312"/>
      <c r="M98" s="833" t="s">
        <v>121</v>
      </c>
      <c r="N98" s="722"/>
      <c r="O98" s="315"/>
      <c r="P98" s="315"/>
      <c r="Q98" s="315"/>
      <c r="R98" s="315"/>
      <c r="S98" s="315"/>
      <c r="T98" s="315"/>
      <c r="U98" s="315"/>
      <c r="V98" s="358">
        <f>SUM(V99:V99)</f>
        <v>6071000</v>
      </c>
    </row>
    <row r="99" spans="1:24" ht="22.5" customHeight="1">
      <c r="A99" s="128"/>
      <c r="B99" s="129"/>
      <c r="C99" s="130"/>
      <c r="D99" s="143"/>
      <c r="E99" s="266"/>
      <c r="F99" s="402"/>
      <c r="G99" s="424"/>
      <c r="H99" s="408"/>
      <c r="I99" s="612">
        <v>0</v>
      </c>
      <c r="J99" s="595"/>
      <c r="K99" s="596"/>
      <c r="M99" s="819" t="s">
        <v>243</v>
      </c>
      <c r="N99" s="721"/>
      <c r="O99" s="316">
        <f>V99/Q99</f>
        <v>104672.41379310345</v>
      </c>
      <c r="P99" s="352" t="s">
        <v>305</v>
      </c>
      <c r="Q99" s="353">
        <v>58</v>
      </c>
      <c r="R99" s="316"/>
      <c r="S99" s="316"/>
      <c r="T99" s="316"/>
      <c r="U99" s="316"/>
      <c r="V99" s="333">
        <v>6071000</v>
      </c>
    </row>
    <row r="100" spans="1:24" ht="22.5" customHeight="1">
      <c r="A100" s="128"/>
      <c r="B100" s="129"/>
      <c r="C100" s="310" t="s">
        <v>201</v>
      </c>
      <c r="D100" s="311">
        <v>1380000</v>
      </c>
      <c r="E100" s="355">
        <f>V100</f>
        <v>1116200</v>
      </c>
      <c r="F100" s="401">
        <f t="shared" si="9"/>
        <v>-263800</v>
      </c>
      <c r="G100" s="425">
        <f t="shared" si="10"/>
        <v>-19.115942028985508</v>
      </c>
      <c r="H100" s="409">
        <v>897410</v>
      </c>
      <c r="I100" s="732">
        <f>SUM(I101:I102)</f>
        <v>0</v>
      </c>
      <c r="J100" s="304">
        <v>218790</v>
      </c>
      <c r="K100" s="416">
        <v>0</v>
      </c>
      <c r="L100" s="312"/>
      <c r="M100" s="822" t="s">
        <v>330</v>
      </c>
      <c r="N100" s="315"/>
      <c r="O100" s="315"/>
      <c r="P100" s="315"/>
      <c r="Q100" s="315"/>
      <c r="R100" s="315"/>
      <c r="S100" s="315"/>
      <c r="T100" s="315"/>
      <c r="U100" s="315"/>
      <c r="V100" s="358">
        <f>SUM(V101:V102)</f>
        <v>1116200</v>
      </c>
    </row>
    <row r="101" spans="1:24" ht="24" customHeight="1">
      <c r="A101" s="128"/>
      <c r="B101" s="129"/>
      <c r="C101" s="130"/>
      <c r="D101" s="143"/>
      <c r="E101" s="266"/>
      <c r="F101" s="402"/>
      <c r="G101" s="424"/>
      <c r="H101" s="408"/>
      <c r="I101" s="731">
        <v>0</v>
      </c>
      <c r="J101" s="72"/>
      <c r="K101" s="415"/>
      <c r="M101" s="128" t="s">
        <v>150</v>
      </c>
      <c r="N101" s="316"/>
      <c r="O101" s="316">
        <f>V101/Q101</f>
        <v>93016.666666666672</v>
      </c>
      <c r="P101" s="352" t="s">
        <v>305</v>
      </c>
      <c r="Q101" s="353">
        <v>12</v>
      </c>
      <c r="R101" s="316"/>
      <c r="S101" s="316"/>
      <c r="T101" s="352" t="s">
        <v>312</v>
      </c>
      <c r="U101" s="316"/>
      <c r="V101" s="333">
        <v>1116200</v>
      </c>
    </row>
    <row r="102" spans="1:24" ht="24" hidden="1" customHeight="1">
      <c r="A102" s="128"/>
      <c r="B102" s="129"/>
      <c r="C102" s="130"/>
      <c r="D102" s="143"/>
      <c r="E102" s="266"/>
      <c r="F102" s="402"/>
      <c r="G102" s="424"/>
      <c r="H102" s="408"/>
      <c r="I102" s="731">
        <v>0</v>
      </c>
      <c r="J102" s="72"/>
      <c r="K102" s="415"/>
      <c r="M102" s="128" t="s">
        <v>179</v>
      </c>
      <c r="N102" s="316"/>
      <c r="O102" s="326">
        <v>38940</v>
      </c>
      <c r="P102" s="352" t="s">
        <v>305</v>
      </c>
      <c r="Q102" s="353">
        <v>2</v>
      </c>
      <c r="R102" s="326"/>
      <c r="S102" s="326"/>
      <c r="T102" s="352" t="s">
        <v>312</v>
      </c>
      <c r="U102" s="316"/>
      <c r="V102" s="333"/>
    </row>
    <row r="103" spans="1:24" ht="26.25" hidden="1" customHeight="1">
      <c r="A103" s="128"/>
      <c r="B103" s="129"/>
      <c r="C103" s="310" t="s">
        <v>276</v>
      </c>
      <c r="D103" s="311">
        <v>0</v>
      </c>
      <c r="E103" s="355">
        <f>V103</f>
        <v>0</v>
      </c>
      <c r="F103" s="401">
        <f t="shared" si="9"/>
        <v>0</v>
      </c>
      <c r="G103" s="425">
        <v>0</v>
      </c>
      <c r="H103" s="409" t="e">
        <f>#REF!+#REF!+#REF!+#REF!+#REF!+#REF!+#REF!+#REF!</f>
        <v>#REF!</v>
      </c>
      <c r="I103" s="732" t="e">
        <f>#REF!</f>
        <v>#REF!</v>
      </c>
      <c r="J103" s="304" t="e">
        <f>#REF!</f>
        <v>#REF!</v>
      </c>
      <c r="K103" s="416" t="e">
        <f>#REF!</f>
        <v>#REF!</v>
      </c>
      <c r="L103" s="313"/>
      <c r="M103" s="822" t="s">
        <v>114</v>
      </c>
      <c r="N103" s="315"/>
      <c r="O103" s="315"/>
      <c r="P103" s="315"/>
      <c r="Q103" s="315"/>
      <c r="R103" s="315"/>
      <c r="S103" s="315"/>
      <c r="T103" s="315"/>
      <c r="U103" s="315"/>
      <c r="V103" s="358">
        <f>V104</f>
        <v>0</v>
      </c>
    </row>
    <row r="104" spans="1:24" ht="26.25" hidden="1" customHeight="1">
      <c r="A104" s="128"/>
      <c r="B104" s="129"/>
      <c r="C104" s="130"/>
      <c r="D104" s="143"/>
      <c r="E104" s="266"/>
      <c r="F104" s="402"/>
      <c r="G104" s="424"/>
      <c r="H104" s="408"/>
      <c r="I104" s="731">
        <v>0</v>
      </c>
      <c r="J104" s="72"/>
      <c r="K104" s="415"/>
      <c r="M104" s="825"/>
      <c r="N104" s="316"/>
      <c r="O104" s="326"/>
      <c r="P104" s="352" t="s">
        <v>305</v>
      </c>
      <c r="Q104" s="353">
        <v>0</v>
      </c>
      <c r="R104" s="326"/>
      <c r="S104" s="326"/>
      <c r="T104" s="352" t="s">
        <v>312</v>
      </c>
      <c r="U104" s="316"/>
      <c r="V104" s="333"/>
    </row>
    <row r="105" spans="1:24" ht="22.5" customHeight="1">
      <c r="A105" s="128"/>
      <c r="B105" s="129"/>
      <c r="C105" s="310" t="s">
        <v>320</v>
      </c>
      <c r="D105" s="311">
        <v>600000</v>
      </c>
      <c r="E105" s="355">
        <f>V105</f>
        <v>150000</v>
      </c>
      <c r="F105" s="401">
        <f t="shared" si="9"/>
        <v>-450000</v>
      </c>
      <c r="G105" s="425">
        <f t="shared" si="10"/>
        <v>-75</v>
      </c>
      <c r="H105" s="409">
        <v>150000</v>
      </c>
      <c r="I105" s="732">
        <f>I106</f>
        <v>0</v>
      </c>
      <c r="J105" s="304">
        <v>0</v>
      </c>
      <c r="K105" s="416">
        <v>0</v>
      </c>
      <c r="L105" s="312"/>
      <c r="M105" s="833" t="s">
        <v>82</v>
      </c>
      <c r="N105" s="315"/>
      <c r="O105" s="315"/>
      <c r="P105" s="315"/>
      <c r="Q105" s="315"/>
      <c r="R105" s="315"/>
      <c r="S105" s="315"/>
      <c r="T105" s="315"/>
      <c r="U105" s="315"/>
      <c r="V105" s="358">
        <f>SUM(V106:V106)</f>
        <v>150000</v>
      </c>
    </row>
    <row r="106" spans="1:24" ht="22.5" customHeight="1">
      <c r="A106" s="128"/>
      <c r="B106" s="129"/>
      <c r="C106" s="130"/>
      <c r="D106" s="143"/>
      <c r="E106" s="266"/>
      <c r="F106" s="402"/>
      <c r="G106" s="424"/>
      <c r="H106" s="408"/>
      <c r="I106" s="731">
        <v>0</v>
      </c>
      <c r="J106" s="72"/>
      <c r="K106" s="600"/>
      <c r="L106" s="711"/>
      <c r="M106" s="128" t="s">
        <v>130</v>
      </c>
      <c r="N106" s="316"/>
      <c r="O106" s="316">
        <f>V106/Q106</f>
        <v>50000</v>
      </c>
      <c r="P106" s="352" t="s">
        <v>305</v>
      </c>
      <c r="Q106" s="353">
        <v>3</v>
      </c>
      <c r="R106" s="316"/>
      <c r="S106" s="316"/>
      <c r="T106" s="352" t="s">
        <v>312</v>
      </c>
      <c r="U106" s="316"/>
      <c r="V106" s="333">
        <v>150000</v>
      </c>
      <c r="X106" s="681"/>
    </row>
    <row r="107" spans="1:24" ht="22.5" customHeight="1">
      <c r="A107" s="128"/>
      <c r="B107" s="129"/>
      <c r="C107" s="310" t="s">
        <v>316</v>
      </c>
      <c r="D107" s="311">
        <v>6600000</v>
      </c>
      <c r="E107" s="355">
        <f>V107</f>
        <v>2147910</v>
      </c>
      <c r="F107" s="401">
        <f t="shared" si="9"/>
        <v>-4452090</v>
      </c>
      <c r="G107" s="425">
        <f t="shared" si="10"/>
        <v>-67.455909090909088</v>
      </c>
      <c r="H107" s="409">
        <v>2102590</v>
      </c>
      <c r="I107" s="732">
        <f>I108</f>
        <v>0</v>
      </c>
      <c r="J107" s="304">
        <v>45320</v>
      </c>
      <c r="K107" s="614">
        <v>0</v>
      </c>
      <c r="L107" s="602"/>
      <c r="M107" s="822" t="s">
        <v>221</v>
      </c>
      <c r="N107" s="315"/>
      <c r="O107" s="315"/>
      <c r="P107" s="315"/>
      <c r="Q107" s="315"/>
      <c r="R107" s="315"/>
      <c r="S107" s="315"/>
      <c r="T107" s="315"/>
      <c r="U107" s="315"/>
      <c r="V107" s="358">
        <f>SUM(V108:V109)</f>
        <v>2147910</v>
      </c>
    </row>
    <row r="108" spans="1:24" ht="24" customHeight="1">
      <c r="A108" s="128"/>
      <c r="B108" s="129"/>
      <c r="C108" s="130"/>
      <c r="D108" s="143"/>
      <c r="E108" s="266"/>
      <c r="F108" s="402"/>
      <c r="G108" s="424"/>
      <c r="H108" s="410"/>
      <c r="I108" s="612"/>
      <c r="J108" s="72"/>
      <c r="K108" s="612"/>
      <c r="L108" s="603"/>
      <c r="M108" s="128" t="s">
        <v>132</v>
      </c>
      <c r="N108" s="316"/>
      <c r="O108" s="326">
        <f>V108/Q108</f>
        <v>233621.11111111112</v>
      </c>
      <c r="P108" s="352" t="s">
        <v>305</v>
      </c>
      <c r="Q108" s="353">
        <v>9</v>
      </c>
      <c r="R108" s="326"/>
      <c r="S108" s="326"/>
      <c r="T108" s="352" t="s">
        <v>312</v>
      </c>
      <c r="U108" s="316"/>
      <c r="V108" s="853">
        <v>2102590</v>
      </c>
    </row>
    <row r="109" spans="1:24" ht="24" customHeight="1">
      <c r="A109" s="128"/>
      <c r="B109" s="129"/>
      <c r="C109" s="130"/>
      <c r="D109" s="143"/>
      <c r="E109" s="81"/>
      <c r="F109" s="402"/>
      <c r="G109" s="734"/>
      <c r="H109" s="410"/>
      <c r="I109" s="612"/>
      <c r="J109" s="72"/>
      <c r="K109" s="612"/>
      <c r="L109" s="603"/>
      <c r="M109" s="128" t="s">
        <v>244</v>
      </c>
      <c r="N109" s="682"/>
      <c r="O109" s="326">
        <f>V109/Q109</f>
        <v>45320</v>
      </c>
      <c r="P109" s="352" t="s">
        <v>305</v>
      </c>
      <c r="Q109" s="353">
        <v>1</v>
      </c>
      <c r="R109" s="683"/>
      <c r="S109" s="683"/>
      <c r="T109" s="352" t="s">
        <v>312</v>
      </c>
      <c r="U109" s="721"/>
      <c r="V109" s="684">
        <v>45320</v>
      </c>
    </row>
    <row r="110" spans="1:24" ht="22.5" customHeight="1">
      <c r="A110" s="128"/>
      <c r="B110" s="131" t="s">
        <v>255</v>
      </c>
      <c r="C110" s="132" t="s">
        <v>267</v>
      </c>
      <c r="D110" s="144">
        <f>D111+D113+D122+D125+D127</f>
        <v>4867000</v>
      </c>
      <c r="E110" s="144">
        <f t="shared" ref="E110:L110" si="18">E111+E113+E122+E125+E127</f>
        <v>1877670</v>
      </c>
      <c r="F110" s="144">
        <f t="shared" si="18"/>
        <v>-2989330</v>
      </c>
      <c r="G110" s="756">
        <f t="shared" si="18"/>
        <v>-351.1819219830769</v>
      </c>
      <c r="H110" s="851">
        <f t="shared" si="18"/>
        <v>782500</v>
      </c>
      <c r="I110" s="757" t="e">
        <f t="shared" si="18"/>
        <v>#REF!</v>
      </c>
      <c r="J110" s="144">
        <f t="shared" si="18"/>
        <v>1095170</v>
      </c>
      <c r="K110" s="144">
        <f t="shared" si="18"/>
        <v>0</v>
      </c>
      <c r="L110" s="802">
        <f t="shared" si="18"/>
        <v>0</v>
      </c>
      <c r="M110" s="820" t="s">
        <v>84</v>
      </c>
      <c r="N110" s="376"/>
      <c r="O110" s="377"/>
      <c r="P110" s="376"/>
      <c r="Q110" s="376"/>
      <c r="R110" s="376"/>
      <c r="S110" s="376"/>
      <c r="T110" s="376"/>
      <c r="U110" s="376"/>
      <c r="V110" s="378">
        <f>V111+V113+V122+V125+V127</f>
        <v>1877670</v>
      </c>
    </row>
    <row r="111" spans="1:24" ht="22.5" customHeight="1">
      <c r="A111" s="128"/>
      <c r="B111" s="129"/>
      <c r="C111" s="310" t="s">
        <v>218</v>
      </c>
      <c r="D111" s="311">
        <v>50000</v>
      </c>
      <c r="E111" s="355">
        <f>V111</f>
        <v>25000</v>
      </c>
      <c r="F111" s="401">
        <f t="shared" si="9"/>
        <v>-25000</v>
      </c>
      <c r="G111" s="425">
        <f t="shared" si="10"/>
        <v>-50</v>
      </c>
      <c r="H111" s="409">
        <v>0</v>
      </c>
      <c r="I111" s="611">
        <v>0</v>
      </c>
      <c r="J111" s="304">
        <v>25000</v>
      </c>
      <c r="K111" s="611">
        <v>0</v>
      </c>
      <c r="L111" s="602"/>
      <c r="M111" s="833" t="s">
        <v>343</v>
      </c>
      <c r="N111" s="314"/>
      <c r="O111" s="314"/>
      <c r="P111" s="314"/>
      <c r="Q111" s="314"/>
      <c r="R111" s="314"/>
      <c r="S111" s="314"/>
      <c r="T111" s="314"/>
      <c r="U111" s="314"/>
      <c r="V111" s="360">
        <f>SUM(V112)</f>
        <v>25000</v>
      </c>
    </row>
    <row r="112" spans="1:24" ht="22.5" customHeight="1">
      <c r="A112" s="128"/>
      <c r="B112" s="129"/>
      <c r="C112" s="130"/>
      <c r="D112" s="143"/>
      <c r="E112" s="81"/>
      <c r="F112" s="402"/>
      <c r="G112" s="424"/>
      <c r="H112" s="408"/>
      <c r="I112" s="612"/>
      <c r="J112" s="72"/>
      <c r="K112" s="612"/>
      <c r="L112" s="803"/>
      <c r="M112" s="128" t="s">
        <v>143</v>
      </c>
      <c r="N112" s="714"/>
      <c r="O112" s="713">
        <f>V112/Q112</f>
        <v>25000</v>
      </c>
      <c r="P112" s="352" t="s">
        <v>305</v>
      </c>
      <c r="Q112" s="353">
        <v>1</v>
      </c>
      <c r="R112" s="316"/>
      <c r="S112" s="316"/>
      <c r="T112" s="352" t="s">
        <v>312</v>
      </c>
      <c r="U112" s="316"/>
      <c r="V112" s="333">
        <v>25000</v>
      </c>
    </row>
    <row r="113" spans="1:22" ht="22.5" customHeight="1">
      <c r="A113" s="128"/>
      <c r="B113" s="129"/>
      <c r="C113" s="310" t="s">
        <v>215</v>
      </c>
      <c r="D113" s="311">
        <v>2395000</v>
      </c>
      <c r="E113" s="355">
        <f>V113</f>
        <v>1037170</v>
      </c>
      <c r="F113" s="401">
        <f>E113-D113</f>
        <v>-1357830</v>
      </c>
      <c r="G113" s="425">
        <f>F113/D113*100</f>
        <v>-56.69436325678496</v>
      </c>
      <c r="H113" s="409">
        <v>0</v>
      </c>
      <c r="I113" s="611">
        <v>0</v>
      </c>
      <c r="J113" s="304">
        <v>1037170</v>
      </c>
      <c r="K113" s="611">
        <v>0</v>
      </c>
      <c r="L113" s="602"/>
      <c r="M113" s="833" t="s">
        <v>352</v>
      </c>
      <c r="N113" s="314"/>
      <c r="O113" s="314"/>
      <c r="P113" s="314"/>
      <c r="Q113" s="314"/>
      <c r="R113" s="314"/>
      <c r="S113" s="314"/>
      <c r="T113" s="314"/>
      <c r="U113" s="314"/>
      <c r="V113" s="360">
        <f>SUM(V114:V121)</f>
        <v>1037170</v>
      </c>
    </row>
    <row r="114" spans="1:22" ht="22.5" customHeight="1">
      <c r="A114" s="128"/>
      <c r="B114" s="129"/>
      <c r="C114" s="130"/>
      <c r="D114" s="143"/>
      <c r="E114" s="266"/>
      <c r="F114" s="402"/>
      <c r="G114" s="424"/>
      <c r="H114" s="408"/>
      <c r="I114" s="612"/>
      <c r="J114" s="72"/>
      <c r="K114" s="612"/>
      <c r="L114" s="803"/>
      <c r="M114" s="128" t="s">
        <v>157</v>
      </c>
      <c r="N114" s="714"/>
      <c r="O114" s="713">
        <f>V114/Q114</f>
        <v>61273.333333333336</v>
      </c>
      <c r="P114" s="352" t="s">
        <v>305</v>
      </c>
      <c r="Q114" s="353">
        <v>3</v>
      </c>
      <c r="R114" s="316"/>
      <c r="S114" s="316"/>
      <c r="T114" s="352" t="s">
        <v>312</v>
      </c>
      <c r="U114" s="316"/>
      <c r="V114" s="853">
        <v>183820</v>
      </c>
    </row>
    <row r="115" spans="1:22" ht="22.5" customHeight="1">
      <c r="A115" s="128"/>
      <c r="B115" s="129"/>
      <c r="C115" s="130"/>
      <c r="D115" s="143"/>
      <c r="E115" s="81"/>
      <c r="F115" s="402"/>
      <c r="G115" s="424"/>
      <c r="H115" s="408"/>
      <c r="I115" s="612"/>
      <c r="J115" s="72"/>
      <c r="K115" s="612"/>
      <c r="L115" s="605"/>
      <c r="M115" s="128" t="s">
        <v>160</v>
      </c>
      <c r="N115" s="714"/>
      <c r="O115" s="713">
        <f>V115/Q115</f>
        <v>40000</v>
      </c>
      <c r="P115" s="352" t="s">
        <v>305</v>
      </c>
      <c r="Q115" s="353">
        <v>1</v>
      </c>
      <c r="R115" s="316"/>
      <c r="S115" s="712"/>
      <c r="T115" s="352" t="s">
        <v>312</v>
      </c>
      <c r="U115" s="316"/>
      <c r="V115" s="853">
        <v>40000</v>
      </c>
    </row>
    <row r="116" spans="1:22" ht="22.5" customHeight="1">
      <c r="A116" s="128"/>
      <c r="B116" s="129"/>
      <c r="C116" s="130"/>
      <c r="D116" s="143"/>
      <c r="E116" s="81"/>
      <c r="F116" s="402"/>
      <c r="G116" s="424"/>
      <c r="H116" s="408"/>
      <c r="I116" s="612"/>
      <c r="J116" s="72"/>
      <c r="K116" s="612"/>
      <c r="L116" s="711"/>
      <c r="M116" s="128" t="s">
        <v>169</v>
      </c>
      <c r="N116" s="714"/>
      <c r="O116" s="713">
        <f>V116/Q116</f>
        <v>36640</v>
      </c>
      <c r="P116" s="352" t="s">
        <v>305</v>
      </c>
      <c r="Q116" s="353">
        <v>1</v>
      </c>
      <c r="R116" s="316"/>
      <c r="S116" s="712"/>
      <c r="T116" s="352" t="s">
        <v>312</v>
      </c>
      <c r="U116" s="316"/>
      <c r="V116" s="853">
        <v>36640</v>
      </c>
    </row>
    <row r="117" spans="1:22" ht="22.5" customHeight="1">
      <c r="A117" s="128"/>
      <c r="B117" s="129"/>
      <c r="C117" s="130"/>
      <c r="D117" s="143"/>
      <c r="E117" s="81"/>
      <c r="F117" s="402"/>
      <c r="G117" s="424"/>
      <c r="H117" s="408"/>
      <c r="I117" s="612"/>
      <c r="J117" s="72"/>
      <c r="K117" s="612"/>
      <c r="L117" s="605"/>
      <c r="M117" s="128" t="s">
        <v>138</v>
      </c>
      <c r="N117" s="316"/>
      <c r="O117" s="852">
        <f>V117/Q117</f>
        <v>0</v>
      </c>
      <c r="P117" s="352" t="s">
        <v>305</v>
      </c>
      <c r="Q117" s="353">
        <v>1</v>
      </c>
      <c r="R117" s="316"/>
      <c r="S117" s="712"/>
      <c r="T117" s="352" t="s">
        <v>312</v>
      </c>
      <c r="U117" s="316"/>
      <c r="V117" s="853">
        <v>0</v>
      </c>
    </row>
    <row r="118" spans="1:22" ht="22.5" customHeight="1">
      <c r="A118" s="128"/>
      <c r="B118" s="129"/>
      <c r="C118" s="130"/>
      <c r="D118" s="143"/>
      <c r="E118" s="81"/>
      <c r="F118" s="402"/>
      <c r="G118" s="424"/>
      <c r="H118" s="408"/>
      <c r="I118" s="612"/>
      <c r="J118" s="72"/>
      <c r="K118" s="612"/>
      <c r="L118" s="605"/>
      <c r="M118" s="128" t="s">
        <v>120</v>
      </c>
      <c r="N118" s="316"/>
      <c r="O118" s="852">
        <f t="shared" ref="O118:O121" si="19">V118/Q118</f>
        <v>400000</v>
      </c>
      <c r="P118" s="352" t="s">
        <v>305</v>
      </c>
      <c r="Q118" s="353">
        <v>1</v>
      </c>
      <c r="R118" s="316"/>
      <c r="S118" s="712"/>
      <c r="T118" s="352" t="s">
        <v>312</v>
      </c>
      <c r="U118" s="316"/>
      <c r="V118" s="853">
        <v>400000</v>
      </c>
    </row>
    <row r="119" spans="1:22" ht="22.5" customHeight="1">
      <c r="A119" s="128"/>
      <c r="B119" s="129"/>
      <c r="C119" s="130"/>
      <c r="D119" s="143"/>
      <c r="E119" s="81"/>
      <c r="F119" s="402"/>
      <c r="G119" s="424"/>
      <c r="H119" s="408"/>
      <c r="I119" s="612"/>
      <c r="J119" s="72"/>
      <c r="K119" s="612"/>
      <c r="L119" s="605"/>
      <c r="M119" s="128" t="s">
        <v>165</v>
      </c>
      <c r="N119" s="316"/>
      <c r="O119" s="852">
        <f t="shared" si="19"/>
        <v>176000</v>
      </c>
      <c r="P119" s="352" t="s">
        <v>305</v>
      </c>
      <c r="Q119" s="353">
        <v>1</v>
      </c>
      <c r="R119" s="316"/>
      <c r="S119" s="712"/>
      <c r="T119" s="352" t="s">
        <v>312</v>
      </c>
      <c r="U119" s="316"/>
      <c r="V119" s="853">
        <v>176000</v>
      </c>
    </row>
    <row r="120" spans="1:22" ht="22.5" customHeight="1">
      <c r="A120" s="128"/>
      <c r="B120" s="129"/>
      <c r="C120" s="130"/>
      <c r="D120" s="143"/>
      <c r="E120" s="81"/>
      <c r="F120" s="402"/>
      <c r="G120" s="424"/>
      <c r="H120" s="408"/>
      <c r="I120" s="612"/>
      <c r="J120" s="72"/>
      <c r="K120" s="612"/>
      <c r="L120" s="605"/>
      <c r="M120" s="859" t="s">
        <v>156</v>
      </c>
      <c r="N120" s="860"/>
      <c r="O120" s="151">
        <f t="shared" si="19"/>
        <v>0</v>
      </c>
      <c r="P120" s="855" t="s">
        <v>305</v>
      </c>
      <c r="Q120" s="856">
        <v>1</v>
      </c>
      <c r="R120" s="860"/>
      <c r="S120" s="190"/>
      <c r="T120" s="855" t="s">
        <v>312</v>
      </c>
      <c r="U120" s="860"/>
      <c r="V120" s="354">
        <v>0</v>
      </c>
    </row>
    <row r="121" spans="1:22" ht="22.5" customHeight="1">
      <c r="A121" s="128"/>
      <c r="B121" s="129"/>
      <c r="C121" s="130"/>
      <c r="D121" s="143"/>
      <c r="E121" s="81"/>
      <c r="F121" s="402"/>
      <c r="G121" s="424"/>
      <c r="H121" s="408"/>
      <c r="I121" s="612"/>
      <c r="J121" s="72"/>
      <c r="K121" s="612"/>
      <c r="L121" s="605"/>
      <c r="M121" s="128" t="s">
        <v>163</v>
      </c>
      <c r="N121" s="316"/>
      <c r="O121" s="852">
        <f t="shared" si="19"/>
        <v>100355</v>
      </c>
      <c r="P121" s="352" t="s">
        <v>305</v>
      </c>
      <c r="Q121" s="353">
        <v>2</v>
      </c>
      <c r="R121" s="316"/>
      <c r="S121" s="712"/>
      <c r="T121" s="352" t="s">
        <v>312</v>
      </c>
      <c r="U121" s="316"/>
      <c r="V121" s="858">
        <v>200710</v>
      </c>
    </row>
    <row r="122" spans="1:22" ht="22.5" customHeight="1">
      <c r="A122" s="128"/>
      <c r="B122" s="129"/>
      <c r="C122" s="310" t="s">
        <v>49</v>
      </c>
      <c r="D122" s="311">
        <v>420000</v>
      </c>
      <c r="E122" s="355">
        <f>V122</f>
        <v>33000</v>
      </c>
      <c r="F122" s="401">
        <f t="shared" ref="F122:F143" si="20">E122-D122</f>
        <v>-387000</v>
      </c>
      <c r="G122" s="425">
        <f t="shared" ref="G122:G143" si="21">F122/D122*100</f>
        <v>-92.142857142857139</v>
      </c>
      <c r="H122" s="409">
        <v>0</v>
      </c>
      <c r="I122" s="611">
        <f>SUM(I128:I131)</f>
        <v>0</v>
      </c>
      <c r="J122" s="304">
        <v>33000</v>
      </c>
      <c r="K122" s="599">
        <v>0</v>
      </c>
      <c r="L122" s="602"/>
      <c r="M122" s="857" t="s">
        <v>346</v>
      </c>
      <c r="N122" s="315"/>
      <c r="O122" s="315"/>
      <c r="P122" s="315"/>
      <c r="Q122" s="315"/>
      <c r="R122" s="315"/>
      <c r="S122" s="315"/>
      <c r="T122" s="315"/>
      <c r="U122" s="315"/>
      <c r="V122" s="359">
        <f>SUM(V123:V124)</f>
        <v>33000</v>
      </c>
    </row>
    <row r="123" spans="1:22" ht="22.5" customHeight="1">
      <c r="A123" s="128"/>
      <c r="B123" s="129"/>
      <c r="C123" s="130"/>
      <c r="D123" s="143"/>
      <c r="E123" s="81"/>
      <c r="F123" s="402"/>
      <c r="G123" s="424"/>
      <c r="H123" s="408"/>
      <c r="I123" s="612"/>
      <c r="J123" s="72"/>
      <c r="K123" s="600"/>
      <c r="L123" s="711"/>
      <c r="M123" s="826" t="s">
        <v>63</v>
      </c>
      <c r="N123" s="714"/>
      <c r="O123" s="326">
        <f>V123/Q123</f>
        <v>0</v>
      </c>
      <c r="P123" s="352" t="s">
        <v>305</v>
      </c>
      <c r="Q123" s="353">
        <v>1</v>
      </c>
      <c r="R123" s="352"/>
      <c r="S123" s="621"/>
      <c r="T123" s="352" t="s">
        <v>312</v>
      </c>
      <c r="U123" s="316"/>
      <c r="V123" s="333"/>
    </row>
    <row r="124" spans="1:22" ht="22.5" customHeight="1">
      <c r="A124" s="128"/>
      <c r="B124" s="129"/>
      <c r="C124" s="130"/>
      <c r="D124" s="143"/>
      <c r="E124" s="81"/>
      <c r="F124" s="402"/>
      <c r="G124" s="424"/>
      <c r="H124" s="408"/>
      <c r="I124" s="612"/>
      <c r="J124" s="72"/>
      <c r="K124" s="415"/>
      <c r="L124" s="716"/>
      <c r="M124" s="128" t="s">
        <v>251</v>
      </c>
      <c r="N124" s="712"/>
      <c r="O124" s="326">
        <f>V124/Q124</f>
        <v>33000</v>
      </c>
      <c r="P124" s="352" t="s">
        <v>305</v>
      </c>
      <c r="Q124" s="353">
        <v>1</v>
      </c>
      <c r="R124" s="352"/>
      <c r="S124" s="861"/>
      <c r="T124" s="352" t="s">
        <v>312</v>
      </c>
      <c r="U124" s="316"/>
      <c r="V124" s="853">
        <v>33000</v>
      </c>
    </row>
    <row r="125" spans="1:22" ht="22.5" customHeight="1">
      <c r="A125" s="128"/>
      <c r="B125" s="129"/>
      <c r="C125" s="310" t="s">
        <v>203</v>
      </c>
      <c r="D125" s="311">
        <v>360000</v>
      </c>
      <c r="E125" s="355">
        <f>V125</f>
        <v>0</v>
      </c>
      <c r="F125" s="401">
        <f t="shared" si="20"/>
        <v>-360000</v>
      </c>
      <c r="G125" s="425">
        <f t="shared" si="21"/>
        <v>-100</v>
      </c>
      <c r="H125" s="409">
        <f>SUM(H131:H134)</f>
        <v>0</v>
      </c>
      <c r="I125" s="611">
        <f t="shared" ref="I125:J125" si="22">SUM(I131:I134)</f>
        <v>0</v>
      </c>
      <c r="J125" s="304">
        <f t="shared" si="22"/>
        <v>0</v>
      </c>
      <c r="K125" s="599">
        <v>0</v>
      </c>
      <c r="L125" s="602"/>
      <c r="M125" s="857" t="s">
        <v>345</v>
      </c>
      <c r="N125" s="315"/>
      <c r="O125" s="315"/>
      <c r="P125" s="315"/>
      <c r="Q125" s="315"/>
      <c r="R125" s="315"/>
      <c r="S125" s="315"/>
      <c r="T125" s="315"/>
      <c r="U125" s="315"/>
      <c r="V125" s="359">
        <f>-SUM(V126)</f>
        <v>0</v>
      </c>
    </row>
    <row r="126" spans="1:22" ht="22.5" customHeight="1">
      <c r="A126" s="128"/>
      <c r="B126" s="129"/>
      <c r="C126" s="130"/>
      <c r="D126" s="143"/>
      <c r="E126" s="81"/>
      <c r="F126" s="402"/>
      <c r="G126" s="424"/>
      <c r="H126" s="408"/>
      <c r="I126" s="612"/>
      <c r="J126" s="72"/>
      <c r="K126" s="600"/>
      <c r="L126" s="711"/>
      <c r="M126" s="826" t="s">
        <v>338</v>
      </c>
      <c r="N126" s="714"/>
      <c r="O126" s="326">
        <f>V126/Q126</f>
        <v>0</v>
      </c>
      <c r="P126" s="352" t="s">
        <v>305</v>
      </c>
      <c r="Q126" s="353">
        <v>1</v>
      </c>
      <c r="R126" s="352"/>
      <c r="S126" s="621"/>
      <c r="T126" s="352" t="s">
        <v>312</v>
      </c>
      <c r="U126" s="316"/>
      <c r="V126" s="333"/>
    </row>
    <row r="127" spans="1:22" ht="22.5" customHeight="1">
      <c r="A127" s="128"/>
      <c r="B127" s="129"/>
      <c r="C127" s="310" t="s">
        <v>329</v>
      </c>
      <c r="D127" s="311">
        <v>1642000</v>
      </c>
      <c r="E127" s="355">
        <f>V127</f>
        <v>782500</v>
      </c>
      <c r="F127" s="401">
        <f t="shared" si="20"/>
        <v>-859500</v>
      </c>
      <c r="G127" s="425">
        <f t="shared" si="21"/>
        <v>-52.344701583434841</v>
      </c>
      <c r="H127" s="409">
        <v>782500</v>
      </c>
      <c r="I127" s="611" t="e">
        <f t="shared" ref="I127:J127" si="23">SUM(I134:I135)</f>
        <v>#REF!</v>
      </c>
      <c r="J127" s="304">
        <f t="shared" si="23"/>
        <v>0</v>
      </c>
      <c r="K127" s="599">
        <v>0</v>
      </c>
      <c r="L127" s="602"/>
      <c r="M127" s="833" t="s">
        <v>351</v>
      </c>
      <c r="N127" s="315"/>
      <c r="O127" s="315"/>
      <c r="P127" s="315"/>
      <c r="Q127" s="315"/>
      <c r="R127" s="315"/>
      <c r="S127" s="315"/>
      <c r="T127" s="315"/>
      <c r="U127" s="315"/>
      <c r="V127" s="359">
        <f>SUM(V128:V136)</f>
        <v>782500</v>
      </c>
    </row>
    <row r="128" spans="1:22" ht="22.5" customHeight="1">
      <c r="A128" s="128"/>
      <c r="B128" s="129"/>
      <c r="C128" s="130"/>
      <c r="D128" s="143"/>
      <c r="E128" s="266"/>
      <c r="F128" s="402"/>
      <c r="G128" s="424"/>
      <c r="H128" s="408"/>
      <c r="I128" s="612"/>
      <c r="J128" s="82"/>
      <c r="K128" s="600"/>
      <c r="L128" s="711"/>
      <c r="M128" s="128" t="s">
        <v>225</v>
      </c>
      <c r="N128" s="714"/>
      <c r="O128" s="326">
        <v>500</v>
      </c>
      <c r="P128" s="352" t="s">
        <v>305</v>
      </c>
      <c r="Q128" s="620" t="s">
        <v>286</v>
      </c>
      <c r="R128" s="352" t="s">
        <v>305</v>
      </c>
      <c r="S128" s="621" t="s">
        <v>124</v>
      </c>
      <c r="T128" s="352" t="s">
        <v>312</v>
      </c>
      <c r="U128" s="316"/>
      <c r="V128" s="853">
        <v>366500</v>
      </c>
    </row>
    <row r="129" spans="1:24" ht="22.5" customHeight="1">
      <c r="A129" s="128"/>
      <c r="B129" s="129"/>
      <c r="C129" s="130"/>
      <c r="D129" s="143"/>
      <c r="E129" s="266"/>
      <c r="F129" s="402"/>
      <c r="G129" s="424"/>
      <c r="H129" s="408"/>
      <c r="I129" s="612"/>
      <c r="J129" s="82"/>
      <c r="K129" s="415"/>
      <c r="L129" s="716"/>
      <c r="M129" s="9" t="s">
        <v>242</v>
      </c>
      <c r="N129" s="751"/>
      <c r="O129" s="864">
        <v>5000</v>
      </c>
      <c r="P129" s="865" t="s">
        <v>305</v>
      </c>
      <c r="Q129" s="866" t="s">
        <v>286</v>
      </c>
      <c r="R129" s="865" t="s">
        <v>305</v>
      </c>
      <c r="S129" s="622" t="s">
        <v>309</v>
      </c>
      <c r="T129" s="865" t="s">
        <v>312</v>
      </c>
      <c r="U129" s="860"/>
      <c r="V129" s="354">
        <v>120000</v>
      </c>
    </row>
    <row r="130" spans="1:24" ht="22.5" customHeight="1">
      <c r="A130" s="128"/>
      <c r="B130" s="129"/>
      <c r="C130" s="130"/>
      <c r="D130" s="143"/>
      <c r="E130" s="81"/>
      <c r="F130" s="402"/>
      <c r="G130" s="424"/>
      <c r="H130" s="408"/>
      <c r="I130" s="612"/>
      <c r="J130" s="72"/>
      <c r="K130" s="600"/>
      <c r="L130" s="711"/>
      <c r="M130" s="128" t="s">
        <v>110</v>
      </c>
      <c r="N130" s="712"/>
      <c r="O130" s="326">
        <v>20000</v>
      </c>
      <c r="P130" s="352" t="s">
        <v>305</v>
      </c>
      <c r="Q130" s="620" t="s">
        <v>286</v>
      </c>
      <c r="R130" s="352" t="s">
        <v>305</v>
      </c>
      <c r="S130" s="861" t="s">
        <v>294</v>
      </c>
      <c r="T130" s="352" t="s">
        <v>312</v>
      </c>
      <c r="U130" s="316"/>
      <c r="V130" s="858">
        <v>160000</v>
      </c>
    </row>
    <row r="131" spans="1:24" ht="22.5" customHeight="1">
      <c r="A131" s="128"/>
      <c r="B131" s="129"/>
      <c r="C131" s="761"/>
      <c r="D131" s="762"/>
      <c r="E131" s="763"/>
      <c r="F131" s="402"/>
      <c r="G131" s="424"/>
      <c r="H131" s="764"/>
      <c r="I131" s="845"/>
      <c r="J131" s="775"/>
      <c r="K131" s="776"/>
      <c r="L131" s="804"/>
      <c r="M131" s="836" t="s">
        <v>336</v>
      </c>
      <c r="N131" s="774"/>
      <c r="O131" s="767">
        <v>12000</v>
      </c>
      <c r="P131" s="867" t="s">
        <v>305</v>
      </c>
      <c r="Q131" s="868" t="s">
        <v>286</v>
      </c>
      <c r="R131" s="867" t="s">
        <v>305</v>
      </c>
      <c r="S131" s="770" t="s">
        <v>294</v>
      </c>
      <c r="T131" s="867" t="s">
        <v>312</v>
      </c>
      <c r="U131" s="862"/>
      <c r="V131" s="752">
        <v>96000</v>
      </c>
    </row>
    <row r="132" spans="1:24" ht="22.5" customHeight="1">
      <c r="A132" s="772"/>
      <c r="B132" s="758"/>
      <c r="C132" s="761"/>
      <c r="D132" s="762"/>
      <c r="E132" s="763"/>
      <c r="F132" s="402"/>
      <c r="G132" s="424"/>
      <c r="H132" s="773"/>
      <c r="I132" s="846"/>
      <c r="J132" s="153"/>
      <c r="K132" s="765"/>
      <c r="L132" s="804"/>
      <c r="M132" s="863" t="s">
        <v>344</v>
      </c>
      <c r="N132" s="774"/>
      <c r="O132" s="869">
        <v>40000</v>
      </c>
      <c r="P132" s="768" t="s">
        <v>305</v>
      </c>
      <c r="Q132" s="620" t="s">
        <v>315</v>
      </c>
      <c r="R132" s="768" t="s">
        <v>305</v>
      </c>
      <c r="S132" s="770" t="s">
        <v>293</v>
      </c>
      <c r="T132" s="768" t="s">
        <v>312</v>
      </c>
      <c r="U132" s="862"/>
      <c r="V132" s="752">
        <v>40000</v>
      </c>
    </row>
    <row r="133" spans="1:24" ht="22.5" hidden="1" customHeight="1">
      <c r="A133" s="128"/>
      <c r="B133" s="129"/>
      <c r="C133" s="310" t="s">
        <v>322</v>
      </c>
      <c r="D133" s="311">
        <v>0</v>
      </c>
      <c r="E133" s="355">
        <f>V133</f>
        <v>0</v>
      </c>
      <c r="F133" s="401">
        <f t="shared" si="20"/>
        <v>0</v>
      </c>
      <c r="G133" s="425" t="e">
        <f t="shared" si="21"/>
        <v>#DIV/0!</v>
      </c>
      <c r="H133" s="409"/>
      <c r="I133" s="611">
        <v>0</v>
      </c>
      <c r="J133" s="304">
        <v>0</v>
      </c>
      <c r="K133" s="599">
        <v>0</v>
      </c>
      <c r="L133" s="606"/>
      <c r="M133" s="833" t="s">
        <v>59</v>
      </c>
      <c r="N133" s="759"/>
      <c r="O133" s="759"/>
      <c r="P133" s="759"/>
      <c r="Q133" s="759"/>
      <c r="R133" s="759"/>
      <c r="S133" s="759"/>
      <c r="T133" s="759"/>
      <c r="U133" s="759"/>
      <c r="V133" s="760">
        <f>SUM(V134)</f>
        <v>0</v>
      </c>
    </row>
    <row r="134" spans="1:24" ht="22.5" hidden="1" customHeight="1">
      <c r="A134" s="128"/>
      <c r="B134" s="129"/>
      <c r="C134" s="761"/>
      <c r="D134" s="762"/>
      <c r="E134" s="763"/>
      <c r="F134" s="402"/>
      <c r="G134" s="424"/>
      <c r="H134" s="764"/>
      <c r="I134" s="846"/>
      <c r="J134" s="153"/>
      <c r="K134" s="765"/>
      <c r="L134" s="804"/>
      <c r="M134" s="837" t="s">
        <v>365</v>
      </c>
      <c r="N134" s="766"/>
      <c r="O134" s="767">
        <v>12000</v>
      </c>
      <c r="P134" s="768" t="s">
        <v>305</v>
      </c>
      <c r="Q134" s="769" t="s">
        <v>253</v>
      </c>
      <c r="R134" s="768" t="s">
        <v>305</v>
      </c>
      <c r="S134" s="770" t="s">
        <v>258</v>
      </c>
      <c r="T134" s="768" t="s">
        <v>312</v>
      </c>
      <c r="U134" s="766"/>
      <c r="V134" s="771"/>
    </row>
    <row r="135" spans="1:24" ht="22.5" hidden="1" customHeight="1">
      <c r="A135" s="128"/>
      <c r="B135" s="758"/>
      <c r="C135" s="310" t="s">
        <v>87</v>
      </c>
      <c r="D135" s="311">
        <v>0</v>
      </c>
      <c r="E135" s="355">
        <f>V135</f>
        <v>0</v>
      </c>
      <c r="F135" s="401">
        <f t="shared" si="20"/>
        <v>0</v>
      </c>
      <c r="G135" s="425">
        <v>0</v>
      </c>
      <c r="H135" s="409"/>
      <c r="I135" s="732" t="e">
        <f>#REF!</f>
        <v>#REF!</v>
      </c>
      <c r="J135" s="304">
        <v>0</v>
      </c>
      <c r="K135" s="599" t="e">
        <f>#REF!</f>
        <v>#REF!</v>
      </c>
      <c r="L135" s="606"/>
      <c r="M135" s="833" t="s">
        <v>331</v>
      </c>
      <c r="N135" s="759"/>
      <c r="O135" s="759"/>
      <c r="P135" s="759"/>
      <c r="Q135" s="759"/>
      <c r="R135" s="759"/>
      <c r="S135" s="759"/>
      <c r="T135" s="759"/>
      <c r="U135" s="759"/>
      <c r="V135" s="760">
        <f>SUM(V136)</f>
        <v>0</v>
      </c>
    </row>
    <row r="136" spans="1:24" ht="22.5" hidden="1" customHeight="1">
      <c r="A136" s="128"/>
      <c r="B136" s="129"/>
      <c r="C136" s="130"/>
      <c r="D136" s="143"/>
      <c r="E136" s="81"/>
      <c r="F136" s="402"/>
      <c r="G136" s="424"/>
      <c r="H136" s="410"/>
      <c r="I136" s="731"/>
      <c r="J136" s="72"/>
      <c r="K136" s="600"/>
      <c r="L136" s="603"/>
      <c r="M136" s="825"/>
      <c r="N136" s="316"/>
      <c r="O136" s="715">
        <v>12000</v>
      </c>
      <c r="P136" s="352" t="s">
        <v>305</v>
      </c>
      <c r="Q136" s="620" t="s">
        <v>252</v>
      </c>
      <c r="R136" s="352" t="s">
        <v>305</v>
      </c>
      <c r="S136" s="622" t="s">
        <v>283</v>
      </c>
      <c r="T136" s="352" t="s">
        <v>312</v>
      </c>
      <c r="U136" s="316"/>
      <c r="V136" s="333">
        <v>0</v>
      </c>
    </row>
    <row r="137" spans="1:24" ht="22.5" customHeight="1">
      <c r="A137" s="134" t="s">
        <v>308</v>
      </c>
      <c r="B137" s="135" t="s">
        <v>310</v>
      </c>
      <c r="C137" s="136"/>
      <c r="D137" s="145">
        <f>D138</f>
        <v>102039</v>
      </c>
      <c r="E137" s="268">
        <f>E138</f>
        <v>0</v>
      </c>
      <c r="F137" s="403">
        <f t="shared" si="20"/>
        <v>-102039</v>
      </c>
      <c r="G137" s="426">
        <f t="shared" si="21"/>
        <v>-100</v>
      </c>
      <c r="H137" s="412">
        <f>H138</f>
        <v>0</v>
      </c>
      <c r="I137" s="844">
        <f t="shared" ref="I137:K138" si="24">I138</f>
        <v>0</v>
      </c>
      <c r="J137" s="137">
        <f t="shared" si="24"/>
        <v>0</v>
      </c>
      <c r="K137" s="613">
        <f t="shared" si="24"/>
        <v>0</v>
      </c>
      <c r="L137" s="805"/>
      <c r="M137" s="832" t="s">
        <v>166</v>
      </c>
      <c r="N137" s="373"/>
      <c r="O137" s="374"/>
      <c r="P137" s="373"/>
      <c r="Q137" s="373"/>
      <c r="R137" s="373"/>
      <c r="S137" s="373"/>
      <c r="T137" s="373"/>
      <c r="U137" s="373"/>
      <c r="V137" s="794" t="str">
        <f>V138</f>
        <v>0원</v>
      </c>
      <c r="X137" s="362"/>
    </row>
    <row r="138" spans="1:24" ht="22.5" customHeight="1">
      <c r="A138" s="128"/>
      <c r="B138" s="131" t="s">
        <v>308</v>
      </c>
      <c r="C138" s="132" t="s">
        <v>267</v>
      </c>
      <c r="D138" s="144">
        <f>D139</f>
        <v>102039</v>
      </c>
      <c r="E138" s="259">
        <f>E139</f>
        <v>0</v>
      </c>
      <c r="F138" s="400">
        <f t="shared" si="20"/>
        <v>-102039</v>
      </c>
      <c r="G138" s="423">
        <f t="shared" si="21"/>
        <v>-100</v>
      </c>
      <c r="H138" s="411">
        <f>H139</f>
        <v>0</v>
      </c>
      <c r="I138" s="733">
        <f t="shared" si="24"/>
        <v>0</v>
      </c>
      <c r="J138" s="133">
        <f t="shared" si="24"/>
        <v>0</v>
      </c>
      <c r="K138" s="601">
        <f t="shared" si="24"/>
        <v>0</v>
      </c>
      <c r="L138" s="806"/>
      <c r="M138" s="838" t="s">
        <v>166</v>
      </c>
      <c r="N138" s="361"/>
      <c r="O138" s="361"/>
      <c r="P138" s="361"/>
      <c r="Q138" s="361"/>
      <c r="R138" s="361"/>
      <c r="S138" s="361"/>
      <c r="T138" s="361"/>
      <c r="U138" s="361"/>
      <c r="V138" s="795" t="str">
        <f>V139</f>
        <v>0원</v>
      </c>
    </row>
    <row r="139" spans="1:24" ht="22.5" customHeight="1">
      <c r="A139" s="128"/>
      <c r="B139" s="129"/>
      <c r="C139" s="310" t="s">
        <v>308</v>
      </c>
      <c r="D139" s="311">
        <v>102039</v>
      </c>
      <c r="E139" s="355">
        <v>0</v>
      </c>
      <c r="F139" s="401">
        <f t="shared" si="20"/>
        <v>-102039</v>
      </c>
      <c r="G139" s="425">
        <f t="shared" si="21"/>
        <v>-100</v>
      </c>
      <c r="H139" s="409">
        <v>0</v>
      </c>
      <c r="I139" s="732">
        <v>0</v>
      </c>
      <c r="J139" s="304">
        <v>0</v>
      </c>
      <c r="K139" s="599">
        <v>0</v>
      </c>
      <c r="L139" s="602"/>
      <c r="M139" s="833" t="s">
        <v>104</v>
      </c>
      <c r="N139" s="314"/>
      <c r="O139" s="314"/>
      <c r="P139" s="314"/>
      <c r="Q139" s="314"/>
      <c r="R139" s="314"/>
      <c r="S139" s="314"/>
      <c r="T139" s="314"/>
      <c r="U139" s="314"/>
      <c r="V139" s="360" t="s">
        <v>282</v>
      </c>
    </row>
    <row r="140" spans="1:24" ht="22.5" customHeight="1">
      <c r="A140" s="134" t="s">
        <v>167</v>
      </c>
      <c r="B140" s="135" t="s">
        <v>310</v>
      </c>
      <c r="C140" s="136"/>
      <c r="D140" s="145">
        <f>D141</f>
        <v>4084781</v>
      </c>
      <c r="E140" s="268">
        <f>E141</f>
        <v>4084781</v>
      </c>
      <c r="F140" s="403">
        <f t="shared" si="20"/>
        <v>0</v>
      </c>
      <c r="G140" s="426">
        <f t="shared" si="21"/>
        <v>0</v>
      </c>
      <c r="H140" s="412">
        <f>H141</f>
        <v>4084781</v>
      </c>
      <c r="I140" s="844">
        <f t="shared" ref="I140:K140" si="25">I141</f>
        <v>0</v>
      </c>
      <c r="J140" s="137">
        <f t="shared" si="25"/>
        <v>0</v>
      </c>
      <c r="K140" s="418">
        <f t="shared" si="25"/>
        <v>0</v>
      </c>
      <c r="L140" s="122"/>
      <c r="M140" s="839" t="s">
        <v>122</v>
      </c>
      <c r="N140" s="791"/>
      <c r="O140" s="342"/>
      <c r="P140" s="791"/>
      <c r="Q140" s="791"/>
      <c r="R140" s="791"/>
      <c r="S140" s="791"/>
      <c r="T140" s="791"/>
      <c r="U140" s="791"/>
      <c r="V140" s="332">
        <f>V141</f>
        <v>4084781</v>
      </c>
    </row>
    <row r="141" spans="1:24" ht="22.5" customHeight="1">
      <c r="A141" s="128"/>
      <c r="B141" s="131" t="s">
        <v>167</v>
      </c>
      <c r="C141" s="132" t="s">
        <v>267</v>
      </c>
      <c r="D141" s="144">
        <f>D143</f>
        <v>4084781</v>
      </c>
      <c r="E141" s="259">
        <f>E143</f>
        <v>4084781</v>
      </c>
      <c r="F141" s="400">
        <f t="shared" si="20"/>
        <v>0</v>
      </c>
      <c r="G141" s="423">
        <f t="shared" si="21"/>
        <v>0</v>
      </c>
      <c r="H141" s="411">
        <f>H143</f>
        <v>4084781</v>
      </c>
      <c r="I141" s="733">
        <f>I143</f>
        <v>0</v>
      </c>
      <c r="J141" s="133">
        <f>J143</f>
        <v>0</v>
      </c>
      <c r="K141" s="417">
        <f>K143</f>
        <v>0</v>
      </c>
      <c r="L141" s="140"/>
      <c r="M141" s="835" t="s">
        <v>122</v>
      </c>
      <c r="N141" s="792"/>
      <c r="O141" s="344"/>
      <c r="P141" s="270"/>
      <c r="Q141" s="270"/>
      <c r="R141" s="270"/>
      <c r="S141" s="270"/>
      <c r="T141" s="270"/>
      <c r="U141" s="270"/>
      <c r="V141" s="318">
        <f>V143</f>
        <v>4084781</v>
      </c>
    </row>
    <row r="142" spans="1:24" ht="22.5" hidden="1" customHeight="1">
      <c r="A142" s="9"/>
      <c r="B142" s="623"/>
      <c r="C142" s="481" t="s">
        <v>250</v>
      </c>
      <c r="D142" s="482">
        <v>0</v>
      </c>
      <c r="E142" s="483">
        <v>0</v>
      </c>
      <c r="F142" s="484">
        <f>E142-D142</f>
        <v>0</v>
      </c>
      <c r="G142" s="485">
        <v>0</v>
      </c>
      <c r="H142" s="409">
        <v>0</v>
      </c>
      <c r="I142" s="847">
        <v>0</v>
      </c>
      <c r="J142" s="304">
        <v>0</v>
      </c>
      <c r="K142" s="416">
        <v>0</v>
      </c>
      <c r="L142" s="312"/>
      <c r="M142" s="1017"/>
      <c r="N142" s="1018"/>
      <c r="O142" s="1019"/>
      <c r="P142" s="1019"/>
      <c r="Q142" s="1019"/>
      <c r="R142" s="314"/>
      <c r="S142" s="314"/>
      <c r="T142" s="314"/>
      <c r="U142" s="314"/>
      <c r="V142" s="360"/>
    </row>
    <row r="143" spans="1:24" ht="22.5" customHeight="1">
      <c r="A143" s="9"/>
      <c r="B143" s="7"/>
      <c r="C143" s="481" t="s">
        <v>273</v>
      </c>
      <c r="D143" s="482">
        <v>4084781</v>
      </c>
      <c r="E143" s="483">
        <f>V143</f>
        <v>4084781</v>
      </c>
      <c r="F143" s="484">
        <f t="shared" si="20"/>
        <v>0</v>
      </c>
      <c r="G143" s="485">
        <f t="shared" si="21"/>
        <v>0</v>
      </c>
      <c r="H143" s="409">
        <v>4084781</v>
      </c>
      <c r="I143" s="847">
        <v>0</v>
      </c>
      <c r="J143" s="624">
        <v>0</v>
      </c>
      <c r="K143" s="625">
        <v>0</v>
      </c>
      <c r="L143" s="313"/>
      <c r="M143" s="1021" t="s">
        <v>393</v>
      </c>
      <c r="N143" s="1022"/>
      <c r="O143" s="1023"/>
      <c r="P143" s="1020" t="s">
        <v>41</v>
      </c>
      <c r="Q143" s="1020" t="s">
        <v>36</v>
      </c>
      <c r="R143" s="1020" t="s">
        <v>36</v>
      </c>
      <c r="S143" s="1020" t="s">
        <v>36</v>
      </c>
      <c r="T143" s="1020" t="s">
        <v>36</v>
      </c>
      <c r="U143" s="1020" t="s">
        <v>36</v>
      </c>
      <c r="V143" s="360">
        <v>4084781</v>
      </c>
    </row>
    <row r="144" spans="1:24" ht="22.5" customHeight="1">
      <c r="A144" s="1000" t="s">
        <v>111</v>
      </c>
      <c r="B144" s="1001"/>
      <c r="C144" s="1001"/>
      <c r="D144" s="192">
        <v>0</v>
      </c>
      <c r="E144" s="193">
        <f>V144</f>
        <v>13603816</v>
      </c>
      <c r="F144" s="404">
        <f>E144-D144</f>
        <v>13603816</v>
      </c>
      <c r="G144" s="427">
        <v>0</v>
      </c>
      <c r="H144" s="428">
        <v>5840530</v>
      </c>
      <c r="I144" s="848">
        <v>0</v>
      </c>
      <c r="J144" s="194">
        <v>7763286</v>
      </c>
      <c r="K144" s="429">
        <v>0</v>
      </c>
      <c r="L144" s="191"/>
      <c r="M144" s="1014" t="s">
        <v>324</v>
      </c>
      <c r="N144" s="1015"/>
      <c r="O144" s="897"/>
      <c r="P144" s="897"/>
      <c r="Q144" s="897"/>
      <c r="R144" s="897"/>
      <c r="S144" s="897"/>
      <c r="T144" s="897"/>
      <c r="U144" s="897"/>
      <c r="V144" s="898">
        <v>13603816</v>
      </c>
    </row>
    <row r="145" ht="22.5" customHeight="1"/>
  </sheetData>
  <mergeCells count="25">
    <mergeCell ref="A6:C6"/>
    <mergeCell ref="M6:V6"/>
    <mergeCell ref="A2:V2"/>
    <mergeCell ref="A4:C4"/>
    <mergeCell ref="D4:D5"/>
    <mergeCell ref="E4:E5"/>
    <mergeCell ref="F4:F5"/>
    <mergeCell ref="G4:G5"/>
    <mergeCell ref="M4:V5"/>
    <mergeCell ref="H4:K4"/>
    <mergeCell ref="A144:C144"/>
    <mergeCell ref="M17:N17"/>
    <mergeCell ref="M21:N21"/>
    <mergeCell ref="M24:N24"/>
    <mergeCell ref="M28:P28"/>
    <mergeCell ref="M30:N30"/>
    <mergeCell ref="M36:N36"/>
    <mergeCell ref="M51:N51"/>
    <mergeCell ref="M91:N91"/>
    <mergeCell ref="M144:N144"/>
    <mergeCell ref="O24:U24"/>
    <mergeCell ref="M142:N142"/>
    <mergeCell ref="O142:Q142"/>
    <mergeCell ref="P143:U143"/>
    <mergeCell ref="M143:O143"/>
  </mergeCells>
  <phoneticPr fontId="41" type="noConversion"/>
  <printOptions horizontalCentered="1"/>
  <pageMargins left="0.43305554986000061" right="0.35430556535720825" top="0.59041666984558105" bottom="0.2361111044883728" header="0.59041666984558105" footer="0.35430556535720825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FF"/>
  </sheetPr>
  <dimension ref="A1:H40"/>
  <sheetViews>
    <sheetView view="pageBreakPreview" zoomScale="80" zoomScaleNormal="85" zoomScaleSheetLayoutView="80" workbookViewId="0">
      <selection activeCell="H20" sqref="H20"/>
    </sheetView>
  </sheetViews>
  <sheetFormatPr defaultColWidth="9" defaultRowHeight="13.5"/>
  <cols>
    <col min="1" max="1" width="3.25" style="22" customWidth="1"/>
    <col min="2" max="2" width="13.5" style="22" customWidth="1"/>
    <col min="3" max="3" width="19.125" style="23" customWidth="1"/>
    <col min="4" max="4" width="18.125" style="22" customWidth="1"/>
    <col min="5" max="5" width="19.125" style="23" customWidth="1"/>
    <col min="6" max="6" width="18.125" style="22" customWidth="1"/>
    <col min="7" max="7" width="2.75" style="22" customWidth="1"/>
    <col min="8" max="9" width="9" style="22"/>
    <col min="10" max="10" width="17.125" style="22" customWidth="1"/>
    <col min="11" max="16384" width="9" style="22"/>
  </cols>
  <sheetData>
    <row r="1" spans="1:6" ht="29.25" customHeight="1">
      <c r="B1" s="1046" t="s">
        <v>17</v>
      </c>
      <c r="C1" s="1046"/>
      <c r="D1" s="1046"/>
      <c r="E1" s="1046"/>
      <c r="F1" s="1046"/>
    </row>
    <row r="2" spans="1:6" ht="18" customHeight="1">
      <c r="A2" s="57"/>
      <c r="B2" s="57"/>
      <c r="C2" s="57"/>
      <c r="D2" s="57"/>
      <c r="E2" s="57"/>
      <c r="F2" s="57"/>
    </row>
    <row r="3" spans="1:6" ht="21.2" customHeight="1">
      <c r="E3" s="1048" t="s">
        <v>76</v>
      </c>
      <c r="F3" s="1048"/>
    </row>
    <row r="4" spans="1:6" ht="23.25" customHeight="1">
      <c r="B4" s="32" t="s">
        <v>232</v>
      </c>
      <c r="C4" s="1049" t="s">
        <v>229</v>
      </c>
      <c r="D4" s="1050"/>
      <c r="E4" s="1051" t="s">
        <v>207</v>
      </c>
      <c r="F4" s="1052"/>
    </row>
    <row r="5" spans="1:6" ht="26.45" customHeight="1">
      <c r="B5" s="24" t="s">
        <v>227</v>
      </c>
      <c r="C5" s="1053">
        <f>SUM(D6,D15,D25,D31)</f>
        <v>114074217</v>
      </c>
      <c r="D5" s="1054"/>
      <c r="E5" s="1055">
        <f>SUM(F6,F15,F25,F31)</f>
        <v>114074217</v>
      </c>
      <c r="F5" s="1056"/>
    </row>
    <row r="6" spans="1:6" ht="21.75" customHeight="1">
      <c r="B6" s="25" t="s">
        <v>292</v>
      </c>
      <c r="C6" s="26" t="s">
        <v>125</v>
      </c>
      <c r="D6" s="237">
        <f>SUM(D7:D14)</f>
        <v>100361711</v>
      </c>
      <c r="E6" s="31" t="s">
        <v>125</v>
      </c>
      <c r="F6" s="238">
        <f>SUM(F7:F14)</f>
        <v>100361711</v>
      </c>
    </row>
    <row r="7" spans="1:6" ht="19.5" customHeight="1">
      <c r="B7" s="25"/>
      <c r="C7" s="221" t="s">
        <v>246</v>
      </c>
      <c r="D7" s="195">
        <f>'나. 세입결산'!E16</f>
        <v>96262500</v>
      </c>
      <c r="E7" s="218" t="s">
        <v>334</v>
      </c>
      <c r="F7" s="197">
        <f>'다. 세출결산'!H8</f>
        <v>79253900</v>
      </c>
    </row>
    <row r="8" spans="1:6" ht="19.5" customHeight="1">
      <c r="B8" s="25"/>
      <c r="C8" s="222" t="s">
        <v>289</v>
      </c>
      <c r="D8" s="196">
        <f>'나. 세입결산'!E32</f>
        <v>4084781</v>
      </c>
      <c r="E8" s="219" t="s">
        <v>367</v>
      </c>
      <c r="F8" s="198">
        <f>'다. 세출결산'!H48</f>
        <v>2810000</v>
      </c>
    </row>
    <row r="9" spans="1:6" ht="19.5" customHeight="1">
      <c r="B9" s="25"/>
      <c r="C9" s="222" t="s">
        <v>318</v>
      </c>
      <c r="D9" s="196">
        <v>14430</v>
      </c>
      <c r="E9" s="220" t="s">
        <v>298</v>
      </c>
      <c r="F9" s="199">
        <f>'다. 세출결산'!H82</f>
        <v>440000</v>
      </c>
    </row>
    <row r="10" spans="1:6" ht="19.5" customHeight="1">
      <c r="B10" s="25"/>
      <c r="C10" s="223"/>
      <c r="D10" s="200"/>
      <c r="E10" s="220" t="s">
        <v>356</v>
      </c>
      <c r="F10" s="199">
        <f>'다. 세출결산'!H97</f>
        <v>7150000</v>
      </c>
    </row>
    <row r="11" spans="1:6" s="33" customFormat="1" ht="19.5" customHeight="1">
      <c r="B11" s="25"/>
      <c r="C11" s="224"/>
      <c r="D11" s="200"/>
      <c r="E11" s="220" t="s">
        <v>382</v>
      </c>
      <c r="F11" s="199">
        <f>'다. 세출결산'!H110</f>
        <v>782500</v>
      </c>
    </row>
    <row r="12" spans="1:6" s="33" customFormat="1" ht="19.5" customHeight="1">
      <c r="B12" s="25"/>
      <c r="C12" s="225"/>
      <c r="D12" s="201"/>
      <c r="E12" s="219" t="s">
        <v>308</v>
      </c>
      <c r="F12" s="198">
        <f>'다. 세출결산'!H138</f>
        <v>0</v>
      </c>
    </row>
    <row r="13" spans="1:6" s="33" customFormat="1" ht="19.5" customHeight="1">
      <c r="B13" s="25"/>
      <c r="C13" s="225"/>
      <c r="D13" s="201"/>
      <c r="E13" s="219" t="s">
        <v>273</v>
      </c>
      <c r="F13" s="198">
        <f>'다. 세출결산'!H143</f>
        <v>4084781</v>
      </c>
    </row>
    <row r="14" spans="1:6" ht="19.5" customHeight="1">
      <c r="B14" s="25"/>
      <c r="C14" s="226"/>
      <c r="D14" s="202"/>
      <c r="E14" s="434" t="s">
        <v>111</v>
      </c>
      <c r="F14" s="435">
        <f>'다. 세출결산'!H144</f>
        <v>5840530</v>
      </c>
    </row>
    <row r="15" spans="1:6" ht="21.75" customHeight="1">
      <c r="B15" s="27" t="s">
        <v>317</v>
      </c>
      <c r="C15" s="227" t="s">
        <v>125</v>
      </c>
      <c r="D15" s="203">
        <f>SUM(D16:D23)</f>
        <v>13712506</v>
      </c>
      <c r="E15" s="204" t="s">
        <v>125</v>
      </c>
      <c r="F15" s="205">
        <f>SUM(F16:F24)</f>
        <v>13712506</v>
      </c>
    </row>
    <row r="16" spans="1:6" ht="19.5" customHeight="1">
      <c r="B16" s="25"/>
      <c r="C16" s="228" t="s">
        <v>226</v>
      </c>
      <c r="D16" s="206">
        <f>'나. 세입결산'!E8</f>
        <v>10700000</v>
      </c>
      <c r="E16" s="219" t="s">
        <v>334</v>
      </c>
      <c r="F16" s="198">
        <f>'다. 세출결산'!J8</f>
        <v>0</v>
      </c>
    </row>
    <row r="17" spans="2:8" ht="19.5" customHeight="1">
      <c r="B17" s="25"/>
      <c r="C17" s="225" t="s">
        <v>96</v>
      </c>
      <c r="D17" s="201">
        <f>'나. 세입결산'!E11</f>
        <v>0</v>
      </c>
      <c r="E17" s="232" t="s">
        <v>95</v>
      </c>
      <c r="F17" s="198">
        <f>'다. 세출결산'!J39</f>
        <v>37200</v>
      </c>
    </row>
    <row r="18" spans="2:8" ht="19.5" customHeight="1">
      <c r="B18" s="25"/>
      <c r="C18" s="225" t="s">
        <v>289</v>
      </c>
      <c r="D18" s="201">
        <f>'나. 세입결산'!E30</f>
        <v>3012061</v>
      </c>
      <c r="E18" s="220" t="s">
        <v>367</v>
      </c>
      <c r="F18" s="199">
        <f>'다. 세출결산'!J48</f>
        <v>2386740</v>
      </c>
    </row>
    <row r="19" spans="2:8" ht="19.5" customHeight="1">
      <c r="B19" s="25"/>
      <c r="C19" s="225" t="s">
        <v>318</v>
      </c>
      <c r="D19" s="201">
        <v>445</v>
      </c>
      <c r="E19" s="220" t="s">
        <v>298</v>
      </c>
      <c r="F19" s="199">
        <f>'다. 세출결산'!J82</f>
        <v>95000</v>
      </c>
    </row>
    <row r="20" spans="2:8" s="33" customFormat="1" ht="19.5" customHeight="1">
      <c r="B20" s="25"/>
      <c r="C20" s="224"/>
      <c r="D20" s="200"/>
      <c r="E20" s="220" t="s">
        <v>356</v>
      </c>
      <c r="F20" s="199">
        <f>'다. 세출결산'!J97</f>
        <v>2335110</v>
      </c>
    </row>
    <row r="21" spans="2:8" s="33" customFormat="1" ht="19.5" customHeight="1">
      <c r="B21" s="25"/>
      <c r="C21" s="224"/>
      <c r="D21" s="200"/>
      <c r="E21" s="220" t="s">
        <v>382</v>
      </c>
      <c r="F21" s="199">
        <f>'다. 세출결산'!J110</f>
        <v>1095170</v>
      </c>
    </row>
    <row r="22" spans="2:8" ht="19.5" customHeight="1">
      <c r="B22" s="25"/>
      <c r="C22" s="224"/>
      <c r="D22" s="200"/>
      <c r="E22" s="233" t="s">
        <v>308</v>
      </c>
      <c r="F22" s="207">
        <f>'다. 세출결산'!J138</f>
        <v>0</v>
      </c>
      <c r="H22" s="28"/>
    </row>
    <row r="23" spans="2:8" ht="19.5" customHeight="1">
      <c r="B23" s="25"/>
      <c r="C23" s="222"/>
      <c r="D23" s="431"/>
      <c r="E23" s="432" t="s">
        <v>250</v>
      </c>
      <c r="F23" s="433">
        <f>'다. 세출결산'!J141</f>
        <v>0</v>
      </c>
    </row>
    <row r="24" spans="2:8" s="33" customFormat="1" ht="19.5" customHeight="1">
      <c r="B24" s="25"/>
      <c r="C24" s="228"/>
      <c r="D24" s="430"/>
      <c r="E24" s="434" t="s">
        <v>111</v>
      </c>
      <c r="F24" s="435">
        <f>'다. 세출결산'!J144</f>
        <v>7763286</v>
      </c>
    </row>
    <row r="25" spans="2:8" ht="21.75" customHeight="1">
      <c r="B25" s="27" t="s">
        <v>279</v>
      </c>
      <c r="C25" s="227" t="s">
        <v>125</v>
      </c>
      <c r="D25" s="203">
        <f>SUM(D26:D28)</f>
        <v>0</v>
      </c>
      <c r="E25" s="234" t="s">
        <v>125</v>
      </c>
      <c r="F25" s="205">
        <f>SUM(F26:F28)</f>
        <v>0</v>
      </c>
    </row>
    <row r="26" spans="2:8" ht="19.5" customHeight="1">
      <c r="B26" s="25" t="s">
        <v>291</v>
      </c>
      <c r="C26" s="228" t="s">
        <v>92</v>
      </c>
      <c r="D26" s="206">
        <f>'나. 세입결산'!E26</f>
        <v>0</v>
      </c>
      <c r="E26" s="218" t="s">
        <v>334</v>
      </c>
      <c r="F26" s="197">
        <f>'다. 세출결산'!I8</f>
        <v>0</v>
      </c>
    </row>
    <row r="27" spans="2:8" ht="19.5" customHeight="1">
      <c r="B27" s="25"/>
      <c r="C27" s="225" t="s">
        <v>289</v>
      </c>
      <c r="D27" s="201">
        <v>0</v>
      </c>
      <c r="E27" s="486" t="s">
        <v>367</v>
      </c>
      <c r="F27" s="487">
        <f>'다. 세출결산'!I48</f>
        <v>0</v>
      </c>
    </row>
    <row r="28" spans="2:8" ht="19.5" customHeight="1">
      <c r="B28" s="25"/>
      <c r="C28" s="224" t="s">
        <v>318</v>
      </c>
      <c r="D28" s="200">
        <v>0</v>
      </c>
      <c r="E28" s="438" t="s">
        <v>111</v>
      </c>
      <c r="F28" s="439">
        <f>'다. 세출결산'!I144</f>
        <v>0</v>
      </c>
    </row>
    <row r="29" spans="2:8" ht="19.5" customHeight="1">
      <c r="B29" s="25"/>
      <c r="C29" s="224"/>
      <c r="D29" s="200"/>
      <c r="E29" s="233"/>
      <c r="F29" s="199"/>
    </row>
    <row r="30" spans="2:8" s="30" customFormat="1" ht="19.5" customHeight="1">
      <c r="B30" s="25"/>
      <c r="C30" s="229"/>
      <c r="D30" s="208"/>
      <c r="E30" s="235"/>
      <c r="F30" s="209"/>
    </row>
    <row r="31" spans="2:8" ht="21.75" customHeight="1">
      <c r="B31" s="27" t="s">
        <v>285</v>
      </c>
      <c r="C31" s="227" t="s">
        <v>125</v>
      </c>
      <c r="D31" s="203">
        <f>SUM(D32:D38)</f>
        <v>0</v>
      </c>
      <c r="E31" s="234" t="s">
        <v>125</v>
      </c>
      <c r="F31" s="205">
        <f>SUM(F32:F38)</f>
        <v>0</v>
      </c>
    </row>
    <row r="32" spans="2:8" ht="19.5" customHeight="1">
      <c r="B32" s="25"/>
      <c r="C32" s="228" t="s">
        <v>85</v>
      </c>
      <c r="D32" s="206">
        <v>0</v>
      </c>
      <c r="E32" s="232" t="s">
        <v>334</v>
      </c>
      <c r="F32" s="210">
        <f>'다. 세출결산'!K8</f>
        <v>0</v>
      </c>
    </row>
    <row r="33" spans="2:6" ht="19.5" customHeight="1">
      <c r="B33" s="25"/>
      <c r="C33" s="225" t="s">
        <v>289</v>
      </c>
      <c r="D33" s="211">
        <v>0</v>
      </c>
      <c r="E33" s="236" t="s">
        <v>367</v>
      </c>
      <c r="F33" s="212">
        <f>'다. 세출결산'!K48</f>
        <v>0</v>
      </c>
    </row>
    <row r="34" spans="2:6" ht="19.5" customHeight="1">
      <c r="B34" s="25"/>
      <c r="C34" s="225" t="s">
        <v>318</v>
      </c>
      <c r="D34" s="213">
        <v>0</v>
      </c>
      <c r="E34" s="233" t="s">
        <v>298</v>
      </c>
      <c r="F34" s="212">
        <f>'다. 세출결산'!K82</f>
        <v>0</v>
      </c>
    </row>
    <row r="35" spans="2:6" ht="19.5" customHeight="1">
      <c r="B35" s="25"/>
      <c r="C35" s="230"/>
      <c r="D35" s="211"/>
      <c r="E35" s="233" t="s">
        <v>356</v>
      </c>
      <c r="F35" s="214">
        <f>'다. 세출결산'!K97</f>
        <v>0</v>
      </c>
    </row>
    <row r="36" spans="2:6" ht="19.5" customHeight="1">
      <c r="B36" s="25"/>
      <c r="C36" s="222"/>
      <c r="D36" s="215"/>
      <c r="E36" s="233" t="s">
        <v>382</v>
      </c>
      <c r="F36" s="216">
        <f>'다. 세출결산'!K110</f>
        <v>0</v>
      </c>
    </row>
    <row r="37" spans="2:6" s="33" customFormat="1" ht="19.5" customHeight="1">
      <c r="B37" s="25"/>
      <c r="C37" s="223"/>
      <c r="D37" s="196"/>
      <c r="E37" s="233" t="s">
        <v>308</v>
      </c>
      <c r="F37" s="436">
        <v>0</v>
      </c>
    </row>
    <row r="38" spans="2:6" ht="19.5" customHeight="1">
      <c r="B38" s="29"/>
      <c r="C38" s="231"/>
      <c r="D38" s="217"/>
      <c r="E38" s="437" t="s">
        <v>111</v>
      </c>
      <c r="F38" s="440">
        <f>'다. 세출결산'!K144</f>
        <v>0</v>
      </c>
    </row>
    <row r="39" spans="2:6" ht="18" customHeight="1">
      <c r="E39" s="1047"/>
      <c r="F39" s="1047"/>
    </row>
    <row r="40" spans="2:6" ht="18" customHeight="1"/>
  </sheetData>
  <mergeCells count="7">
    <mergeCell ref="B1:F1"/>
    <mergeCell ref="E39:F39"/>
    <mergeCell ref="E3:F3"/>
    <mergeCell ref="C4:D4"/>
    <mergeCell ref="E4:F4"/>
    <mergeCell ref="C5:D5"/>
    <mergeCell ref="E5:F5"/>
  </mergeCells>
  <phoneticPr fontId="41" type="noConversion"/>
  <printOptions horizontalCentered="1"/>
  <pageMargins left="0.35430556535720825" right="0.35430556535720825" top="0.98416668176651001" bottom="0.98416668176651001" header="0.51138889789581299" footer="0.51138889789581299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42"/>
  <sheetViews>
    <sheetView zoomScale="115" zoomScaleNormal="115" zoomScaleSheetLayoutView="75" workbookViewId="0">
      <selection activeCell="Q36" sqref="Q36"/>
    </sheetView>
  </sheetViews>
  <sheetFormatPr defaultColWidth="8.75" defaultRowHeight="13.5"/>
  <cols>
    <col min="1" max="2" width="9" customWidth="1"/>
    <col min="3" max="3" width="12.625" customWidth="1"/>
    <col min="4" max="5" width="10.625" customWidth="1"/>
    <col min="6" max="6" width="10.625" style="34" customWidth="1"/>
    <col min="7" max="7" width="8.125" style="34" customWidth="1"/>
    <col min="8" max="8" width="27.5" customWidth="1"/>
    <col min="10" max="10" width="9" customWidth="1"/>
    <col min="11" max="11" width="12.625" customWidth="1"/>
    <col min="12" max="13" width="10.625" customWidth="1"/>
    <col min="14" max="14" width="10.625" style="34" customWidth="1"/>
    <col min="15" max="15" width="8.25" style="34" customWidth="1"/>
    <col min="16" max="16" width="27.5" customWidth="1"/>
  </cols>
  <sheetData>
    <row r="1" spans="1:16">
      <c r="A1" s="34"/>
      <c r="B1" s="34"/>
      <c r="C1" s="34"/>
      <c r="D1" s="34"/>
      <c r="E1" s="34"/>
      <c r="H1" s="34"/>
      <c r="I1" s="34"/>
      <c r="J1" s="34"/>
      <c r="K1" s="34"/>
      <c r="L1" s="34"/>
      <c r="M1" s="34"/>
      <c r="P1" s="34"/>
    </row>
    <row r="2" spans="1:16" ht="14.25">
      <c r="A2" s="1070" t="s">
        <v>9</v>
      </c>
      <c r="B2" s="1070"/>
      <c r="C2" s="1070"/>
      <c r="D2" s="1070"/>
      <c r="E2" s="1070"/>
      <c r="F2" s="1070"/>
      <c r="G2" s="1070"/>
      <c r="H2" s="1070"/>
      <c r="I2" s="1070"/>
      <c r="J2" s="1070"/>
      <c r="K2" s="1070"/>
      <c r="L2" s="1070"/>
      <c r="M2" s="1070"/>
      <c r="N2" s="1070"/>
      <c r="O2" s="1070"/>
      <c r="P2" s="1070"/>
    </row>
    <row r="3" spans="1:16" ht="14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4"/>
      <c r="P3" s="38"/>
    </row>
    <row r="4" spans="1:16" ht="14.25" customHeight="1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685"/>
      <c r="P4" s="686" t="s">
        <v>369</v>
      </c>
    </row>
    <row r="5" spans="1:16" ht="15" customHeight="1">
      <c r="A5" s="1060" t="s">
        <v>21</v>
      </c>
      <c r="B5" s="1061"/>
      <c r="C5" s="1061"/>
      <c r="D5" s="1061"/>
      <c r="E5" s="1061"/>
      <c r="F5" s="1061"/>
      <c r="G5" s="1061"/>
      <c r="H5" s="1061"/>
      <c r="I5" s="1062" t="s">
        <v>28</v>
      </c>
      <c r="J5" s="1061"/>
      <c r="K5" s="1061"/>
      <c r="L5" s="1061"/>
      <c r="M5" s="1061"/>
      <c r="N5" s="1061"/>
      <c r="O5" s="1061"/>
      <c r="P5" s="1063"/>
    </row>
    <row r="6" spans="1:16" ht="15" customHeight="1">
      <c r="A6" s="1059" t="s">
        <v>394</v>
      </c>
      <c r="B6" s="914"/>
      <c r="C6" s="914"/>
      <c r="D6" s="921" t="s">
        <v>11</v>
      </c>
      <c r="E6" s="921" t="s">
        <v>55</v>
      </c>
      <c r="F6" s="1066" t="s">
        <v>58</v>
      </c>
      <c r="G6" s="1068" t="s">
        <v>24</v>
      </c>
      <c r="H6" s="927" t="s">
        <v>191</v>
      </c>
      <c r="I6" s="913" t="s">
        <v>394</v>
      </c>
      <c r="J6" s="914"/>
      <c r="K6" s="914"/>
      <c r="L6" s="921" t="s">
        <v>11</v>
      </c>
      <c r="M6" s="921" t="s">
        <v>55</v>
      </c>
      <c r="N6" s="1066" t="s">
        <v>58</v>
      </c>
      <c r="O6" s="1068" t="s">
        <v>24</v>
      </c>
      <c r="P6" s="1064" t="s">
        <v>191</v>
      </c>
    </row>
    <row r="7" spans="1:16" ht="15" customHeight="1">
      <c r="A7" s="687" t="s">
        <v>261</v>
      </c>
      <c r="B7" s="6" t="s">
        <v>254</v>
      </c>
      <c r="C7" s="6" t="s">
        <v>259</v>
      </c>
      <c r="D7" s="922"/>
      <c r="E7" s="922"/>
      <c r="F7" s="1067"/>
      <c r="G7" s="1069"/>
      <c r="H7" s="928"/>
      <c r="I7" s="37" t="s">
        <v>261</v>
      </c>
      <c r="J7" s="35" t="s">
        <v>254</v>
      </c>
      <c r="K7" s="36" t="s">
        <v>259</v>
      </c>
      <c r="L7" s="922"/>
      <c r="M7" s="922"/>
      <c r="N7" s="1067"/>
      <c r="O7" s="1069"/>
      <c r="P7" s="1065"/>
    </row>
    <row r="8" spans="1:16" ht="18" customHeight="1">
      <c r="A8" s="1057" t="s">
        <v>15</v>
      </c>
      <c r="B8" s="1058"/>
      <c r="C8" s="1058"/>
      <c r="D8" s="240">
        <f>SUM(D9+D12+D15+D18+D23+D27)</f>
        <v>122457000</v>
      </c>
      <c r="E8" s="240">
        <f t="shared" ref="E8:F8" si="0">SUM(E9+E12+E15+E18+E23+E27)</f>
        <v>114074217</v>
      </c>
      <c r="F8" s="240">
        <f t="shared" si="0"/>
        <v>-8382783</v>
      </c>
      <c r="G8" s="447">
        <f>F8/D8*100</f>
        <v>-6.8454910703348926</v>
      </c>
      <c r="H8" s="39"/>
      <c r="I8" s="925" t="s">
        <v>15</v>
      </c>
      <c r="J8" s="926"/>
      <c r="K8" s="926"/>
      <c r="L8" s="244">
        <f>SUM(L9+L21+L24+L36+L39+L42)</f>
        <v>122457000</v>
      </c>
      <c r="M8" s="244">
        <f t="shared" ref="M8:N8" ca="1" si="1">SUM(M9+M21+M24+M36+M39+M42)</f>
        <v>114074217</v>
      </c>
      <c r="N8" s="244">
        <f t="shared" ca="1" si="1"/>
        <v>-8382783</v>
      </c>
      <c r="O8" s="460">
        <f ca="1">N8/L8*100</f>
        <v>-6.8454910703348926</v>
      </c>
      <c r="P8" s="688"/>
    </row>
    <row r="9" spans="1:16" ht="18" customHeight="1">
      <c r="A9" s="689" t="s">
        <v>200</v>
      </c>
      <c r="B9" s="248" t="s">
        <v>310</v>
      </c>
      <c r="C9" s="248"/>
      <c r="D9" s="246">
        <f t="shared" ref="D9:F10" si="2">D10</f>
        <v>18800000</v>
      </c>
      <c r="E9" s="246">
        <f t="shared" si="2"/>
        <v>10700000</v>
      </c>
      <c r="F9" s="246">
        <f t="shared" si="2"/>
        <v>-8100000</v>
      </c>
      <c r="G9" s="448">
        <f>F9/D9*100</f>
        <v>-43.085106382978722</v>
      </c>
      <c r="H9" s="473"/>
      <c r="I9" s="247" t="s">
        <v>268</v>
      </c>
      <c r="J9" s="248" t="s">
        <v>310</v>
      </c>
      <c r="K9" s="248"/>
      <c r="L9" s="628">
        <f>SUM(L10+L15+L17)</f>
        <v>94603180</v>
      </c>
      <c r="M9" s="628">
        <f ca="1">SUM(M10+M15+M17)</f>
        <v>84487840</v>
      </c>
      <c r="N9" s="628">
        <f ca="1">M9-L9</f>
        <v>-10115340</v>
      </c>
      <c r="O9" s="461">
        <f t="shared" ref="O9:O11" ca="1" si="3">N9/L9*100</f>
        <v>-10.692388987346938</v>
      </c>
      <c r="P9" s="690"/>
    </row>
    <row r="10" spans="1:16" ht="18" customHeight="1">
      <c r="A10" s="691"/>
      <c r="B10" s="256" t="s">
        <v>226</v>
      </c>
      <c r="C10" s="256" t="s">
        <v>267</v>
      </c>
      <c r="D10" s="257">
        <f t="shared" si="2"/>
        <v>18800000</v>
      </c>
      <c r="E10" s="257">
        <f t="shared" si="2"/>
        <v>10700000</v>
      </c>
      <c r="F10" s="257">
        <f t="shared" si="2"/>
        <v>-8100000</v>
      </c>
      <c r="G10" s="449">
        <f>F10/D10*100</f>
        <v>-43.085106382978722</v>
      </c>
      <c r="H10" s="474"/>
      <c r="I10" s="242"/>
      <c r="J10" s="256" t="s">
        <v>306</v>
      </c>
      <c r="K10" s="256" t="s">
        <v>267</v>
      </c>
      <c r="L10" s="629">
        <f>SUM(L11:L14)</f>
        <v>84363180</v>
      </c>
      <c r="M10" s="629">
        <f t="shared" ref="M10:N10" si="4">SUM(M11:M14)</f>
        <v>79253900</v>
      </c>
      <c r="N10" s="629">
        <f t="shared" si="4"/>
        <v>-5109280</v>
      </c>
      <c r="O10" s="462">
        <f t="shared" si="3"/>
        <v>-6.0562913820934678</v>
      </c>
      <c r="P10" s="692"/>
    </row>
    <row r="11" spans="1:16" ht="18" customHeight="1">
      <c r="A11" s="691"/>
      <c r="B11" s="243"/>
      <c r="C11" s="243" t="s">
        <v>226</v>
      </c>
      <c r="D11" s="241">
        <f>'가. 세입세출(총괄)'!D10</f>
        <v>18800000</v>
      </c>
      <c r="E11" s="241">
        <f>'가. 세입세출(총괄)'!E10</f>
        <v>10700000</v>
      </c>
      <c r="F11" s="163">
        <f>E11-D11</f>
        <v>-8100000</v>
      </c>
      <c r="G11" s="450">
        <f>F11/D11*100</f>
        <v>-43.085106382978722</v>
      </c>
      <c r="H11" s="472" t="s">
        <v>6</v>
      </c>
      <c r="I11" s="242"/>
      <c r="J11" s="243"/>
      <c r="K11" s="243" t="s">
        <v>262</v>
      </c>
      <c r="L11" s="471">
        <f>'가. 세입세출(총괄)'!K10</f>
        <v>57176700</v>
      </c>
      <c r="M11" s="471">
        <f>'가. 세입세출(총괄)'!L10</f>
        <v>57176700</v>
      </c>
      <c r="N11" s="471">
        <f>M11-L11</f>
        <v>0</v>
      </c>
      <c r="O11" s="463">
        <f t="shared" si="3"/>
        <v>0</v>
      </c>
      <c r="P11" s="693"/>
    </row>
    <row r="12" spans="1:16" ht="17.25" customHeight="1">
      <c r="A12" s="694" t="s">
        <v>246</v>
      </c>
      <c r="B12" s="255" t="s">
        <v>310</v>
      </c>
      <c r="C12" s="255"/>
      <c r="D12" s="249">
        <f t="shared" ref="D12:F13" si="5">D13</f>
        <v>96405180</v>
      </c>
      <c r="E12" s="249">
        <f t="shared" si="5"/>
        <v>96262500</v>
      </c>
      <c r="F12" s="249">
        <f t="shared" si="5"/>
        <v>-142680</v>
      </c>
      <c r="G12" s="451">
        <v>0</v>
      </c>
      <c r="H12" s="475"/>
      <c r="I12" s="242"/>
      <c r="J12" s="243"/>
      <c r="K12" s="243" t="s">
        <v>272</v>
      </c>
      <c r="L12" s="471">
        <f>'가. 세입세출(총괄)'!K11</f>
        <v>13906420</v>
      </c>
      <c r="M12" s="471">
        <f>'가. 세입세출(총괄)'!L11</f>
        <v>13221020</v>
      </c>
      <c r="N12" s="471">
        <f t="shared" ref="N12:N14" si="6">M12-L12</f>
        <v>-685400</v>
      </c>
      <c r="O12" s="463">
        <f t="shared" ref="O12:O14" si="7">N12/L12*100</f>
        <v>-4.9286588496536128</v>
      </c>
      <c r="P12" s="695" t="s">
        <v>349</v>
      </c>
    </row>
    <row r="13" spans="1:16" ht="18" customHeight="1">
      <c r="A13" s="696"/>
      <c r="B13" s="260" t="s">
        <v>246</v>
      </c>
      <c r="C13" s="260" t="s">
        <v>267</v>
      </c>
      <c r="D13" s="188">
        <f t="shared" si="5"/>
        <v>96405180</v>
      </c>
      <c r="E13" s="188">
        <f t="shared" si="5"/>
        <v>96262500</v>
      </c>
      <c r="F13" s="188">
        <f t="shared" si="5"/>
        <v>-142680</v>
      </c>
      <c r="G13" s="452">
        <v>0</v>
      </c>
      <c r="H13" s="476"/>
      <c r="I13" s="242"/>
      <c r="J13" s="243"/>
      <c r="K13" s="243" t="s">
        <v>48</v>
      </c>
      <c r="L13" s="471">
        <f>'가. 세입세출(총괄)'!K12</f>
        <v>5923590</v>
      </c>
      <c r="M13" s="471">
        <f>'가. 세입세출(총괄)'!L12</f>
        <v>5866520</v>
      </c>
      <c r="N13" s="471">
        <f t="shared" si="6"/>
        <v>-57070</v>
      </c>
      <c r="O13" s="463">
        <f t="shared" si="7"/>
        <v>-0.96343602443788312</v>
      </c>
      <c r="P13" s="693"/>
    </row>
    <row r="14" spans="1:16" ht="18" customHeight="1">
      <c r="A14" s="691"/>
      <c r="B14" s="243"/>
      <c r="C14" s="243" t="s">
        <v>204</v>
      </c>
      <c r="D14" s="163">
        <f>'가. 세입세출(총괄)'!D13</f>
        <v>96405180</v>
      </c>
      <c r="E14" s="241">
        <f>'가. 세입세출(총괄)'!E13</f>
        <v>96262500</v>
      </c>
      <c r="F14" s="163">
        <f>E14-D14</f>
        <v>-142680</v>
      </c>
      <c r="G14" s="453">
        <v>0</v>
      </c>
      <c r="H14" s="478"/>
      <c r="I14" s="242"/>
      <c r="J14" s="243"/>
      <c r="K14" s="243" t="s">
        <v>376</v>
      </c>
      <c r="L14" s="471">
        <f>'가. 세입세출(총괄)'!K13</f>
        <v>7356470</v>
      </c>
      <c r="M14" s="471">
        <f>'가. 세입세출(총괄)'!L13</f>
        <v>2989660</v>
      </c>
      <c r="N14" s="471">
        <f t="shared" si="6"/>
        <v>-4366810</v>
      </c>
      <c r="O14" s="463">
        <f t="shared" si="7"/>
        <v>-59.360127887424262</v>
      </c>
      <c r="P14" s="693" t="s">
        <v>32</v>
      </c>
    </row>
    <row r="15" spans="1:16" ht="18" customHeight="1">
      <c r="A15" s="694" t="s">
        <v>85</v>
      </c>
      <c r="B15" s="255" t="s">
        <v>310</v>
      </c>
      <c r="C15" s="255"/>
      <c r="D15" s="249">
        <f>D16</f>
        <v>0</v>
      </c>
      <c r="E15" s="249">
        <f>E16</f>
        <v>0</v>
      </c>
      <c r="F15" s="249">
        <f>F16</f>
        <v>0</v>
      </c>
      <c r="G15" s="451">
        <v>0</v>
      </c>
      <c r="H15" s="475"/>
      <c r="I15" s="242"/>
      <c r="J15" s="256" t="s">
        <v>95</v>
      </c>
      <c r="K15" s="256" t="s">
        <v>267</v>
      </c>
      <c r="L15" s="630">
        <f>L16</f>
        <v>140000</v>
      </c>
      <c r="M15" s="630">
        <f>M16</f>
        <v>37200</v>
      </c>
      <c r="N15" s="630">
        <f>M15-L15</f>
        <v>-102800</v>
      </c>
      <c r="O15" s="464">
        <v>0</v>
      </c>
      <c r="P15" s="697"/>
    </row>
    <row r="16" spans="1:16" ht="18" customHeight="1">
      <c r="A16" s="691"/>
      <c r="B16" s="256" t="s">
        <v>85</v>
      </c>
      <c r="C16" s="256" t="s">
        <v>267</v>
      </c>
      <c r="D16" s="257">
        <f>SUM(D17:D18)</f>
        <v>0</v>
      </c>
      <c r="E16" s="257">
        <f>SUM(E17:E18)</f>
        <v>0</v>
      </c>
      <c r="F16" s="257">
        <f>SUM(F17:F18)</f>
        <v>0</v>
      </c>
      <c r="G16" s="449">
        <v>0</v>
      </c>
      <c r="H16" s="474"/>
      <c r="I16" s="242"/>
      <c r="J16" s="243"/>
      <c r="K16" s="243" t="s">
        <v>301</v>
      </c>
      <c r="L16" s="245">
        <f>'가. 세입세출(총괄)'!K15</f>
        <v>140000</v>
      </c>
      <c r="M16" s="245">
        <f>'가. 세입세출(총괄)'!L15</f>
        <v>37200</v>
      </c>
      <c r="N16" s="471">
        <f>M16-L16</f>
        <v>-102800</v>
      </c>
      <c r="O16" s="465">
        <v>0</v>
      </c>
      <c r="P16" s="693"/>
    </row>
    <row r="17" spans="1:16" ht="18" customHeight="1">
      <c r="A17" s="691"/>
      <c r="B17" s="243"/>
      <c r="C17" s="243" t="s">
        <v>88</v>
      </c>
      <c r="D17" s="175">
        <f>'가. 세입세출(총괄)'!D16</f>
        <v>0</v>
      </c>
      <c r="E17" s="241">
        <f>'가. 세입세출(총괄)'!E16</f>
        <v>0</v>
      </c>
      <c r="F17" s="163">
        <f t="shared" ref="F17:F18" si="8">E17-D17</f>
        <v>0</v>
      </c>
      <c r="G17" s="457">
        <v>0</v>
      </c>
      <c r="H17" s="472"/>
      <c r="I17" s="242"/>
      <c r="J17" s="256" t="s">
        <v>311</v>
      </c>
      <c r="K17" s="256" t="s">
        <v>267</v>
      </c>
      <c r="L17" s="630">
        <f>SUM(L18:L20)</f>
        <v>10100000</v>
      </c>
      <c r="M17" s="630">
        <f ca="1">SUM(M18:M20)</f>
        <v>5196740</v>
      </c>
      <c r="N17" s="630">
        <f ca="1">M17-L17</f>
        <v>-4903260</v>
      </c>
      <c r="O17" s="464"/>
      <c r="P17" s="697"/>
    </row>
    <row r="18" spans="1:16" ht="18" customHeight="1">
      <c r="A18" s="698"/>
      <c r="B18" s="252"/>
      <c r="C18" s="239" t="s">
        <v>93</v>
      </c>
      <c r="D18" s="445">
        <f>'가. 세입세출(총괄)'!D17</f>
        <v>0</v>
      </c>
      <c r="E18" s="241">
        <f>'가. 세입세출(총괄)'!E17</f>
        <v>0</v>
      </c>
      <c r="F18" s="163">
        <f t="shared" si="8"/>
        <v>0</v>
      </c>
      <c r="G18" s="458">
        <v>0</v>
      </c>
      <c r="H18" s="472"/>
      <c r="I18" s="242"/>
      <c r="J18" s="243"/>
      <c r="K18" s="243" t="s">
        <v>173</v>
      </c>
      <c r="L18" s="471">
        <f>'가. 세입세출(총괄)'!K17</f>
        <v>3780000</v>
      </c>
      <c r="M18" s="471">
        <f ca="1">'가. 세입세출(총괄)'!L17</f>
        <v>2331100</v>
      </c>
      <c r="N18" s="471">
        <f t="shared" ref="N18:N20" ca="1" si="9">M18-L18</f>
        <v>-1448900</v>
      </c>
      <c r="O18" s="463">
        <f ca="1">N18/L18*100</f>
        <v>-38.330687830687829</v>
      </c>
      <c r="P18" s="693"/>
    </row>
    <row r="19" spans="1:16" ht="18" customHeight="1">
      <c r="A19" s="694" t="s">
        <v>291</v>
      </c>
      <c r="B19" s="262" t="s">
        <v>310</v>
      </c>
      <c r="C19" s="255"/>
      <c r="D19" s="182">
        <f t="shared" ref="D19:F20" si="10">D20</f>
        <v>0</v>
      </c>
      <c r="E19" s="182">
        <f t="shared" si="10"/>
        <v>0</v>
      </c>
      <c r="F19" s="182">
        <f t="shared" si="10"/>
        <v>0</v>
      </c>
      <c r="G19" s="454">
        <v>0</v>
      </c>
      <c r="H19" s="475"/>
      <c r="I19" s="242"/>
      <c r="J19" s="243"/>
      <c r="K19" s="243" t="s">
        <v>210</v>
      </c>
      <c r="L19" s="471">
        <f>'가. 세입세출(총괄)'!K18</f>
        <v>5400000</v>
      </c>
      <c r="M19" s="471">
        <f>'가. 세입세출(총괄)'!L18</f>
        <v>2675640</v>
      </c>
      <c r="N19" s="471">
        <f t="shared" si="9"/>
        <v>-2724360</v>
      </c>
      <c r="O19" s="463">
        <f t="shared" ref="O19:O34" si="11">N19/L19*100</f>
        <v>-50.451111111111111</v>
      </c>
      <c r="P19" s="693" t="s">
        <v>395</v>
      </c>
    </row>
    <row r="20" spans="1:16" ht="21.75" customHeight="1">
      <c r="A20" s="691"/>
      <c r="B20" s="260" t="s">
        <v>291</v>
      </c>
      <c r="C20" s="258" t="s">
        <v>267</v>
      </c>
      <c r="D20" s="188">
        <f t="shared" si="10"/>
        <v>0</v>
      </c>
      <c r="E20" s="188">
        <f t="shared" si="10"/>
        <v>0</v>
      </c>
      <c r="F20" s="188">
        <f t="shared" si="10"/>
        <v>0</v>
      </c>
      <c r="G20" s="452">
        <v>0</v>
      </c>
      <c r="H20" s="476"/>
      <c r="I20" s="242"/>
      <c r="J20" s="243"/>
      <c r="K20" s="243" t="s">
        <v>307</v>
      </c>
      <c r="L20" s="471">
        <f>'가. 세입세출(총괄)'!K19</f>
        <v>920000</v>
      </c>
      <c r="M20" s="471">
        <f>'가. 세입세출(총괄)'!L19</f>
        <v>190000</v>
      </c>
      <c r="N20" s="471">
        <f t="shared" si="9"/>
        <v>-730000</v>
      </c>
      <c r="O20" s="463">
        <f t="shared" si="11"/>
        <v>-79.347826086956516</v>
      </c>
      <c r="P20" s="693" t="s">
        <v>8</v>
      </c>
    </row>
    <row r="21" spans="1:16" ht="18" customHeight="1">
      <c r="A21" s="696"/>
      <c r="B21" s="239"/>
      <c r="C21" s="253" t="s">
        <v>92</v>
      </c>
      <c r="D21" s="445">
        <f>'가. 세입세출(총괄)'!D20</f>
        <v>0</v>
      </c>
      <c r="E21" s="241">
        <f>'가. 세입세출(총괄)'!E20</f>
        <v>0</v>
      </c>
      <c r="F21" s="163">
        <f>E21-D21</f>
        <v>0</v>
      </c>
      <c r="G21" s="456">
        <v>0</v>
      </c>
      <c r="H21" s="477"/>
      <c r="I21" s="667" t="s">
        <v>247</v>
      </c>
      <c r="J21" s="255" t="s">
        <v>310</v>
      </c>
      <c r="K21" s="255"/>
      <c r="L21" s="631">
        <f>L22</f>
        <v>1400000</v>
      </c>
      <c r="M21" s="631">
        <f>M22</f>
        <v>535000</v>
      </c>
      <c r="N21" s="631">
        <f>M21-L21</f>
        <v>-865000</v>
      </c>
      <c r="O21" s="466">
        <f t="shared" si="11"/>
        <v>-61.785714285714292</v>
      </c>
      <c r="P21" s="699"/>
    </row>
    <row r="22" spans="1:16" ht="18" customHeight="1">
      <c r="A22" s="694" t="s">
        <v>289</v>
      </c>
      <c r="B22" s="255" t="s">
        <v>310</v>
      </c>
      <c r="C22" s="255"/>
      <c r="D22" s="249">
        <f>D23</f>
        <v>7096842</v>
      </c>
      <c r="E22" s="249">
        <f>E23</f>
        <v>7096842</v>
      </c>
      <c r="F22" s="249">
        <f>F23</f>
        <v>0</v>
      </c>
      <c r="G22" s="451">
        <f t="shared" ref="G22:G23" si="12">F22/D22*100</f>
        <v>0</v>
      </c>
      <c r="H22" s="678"/>
      <c r="I22" s="666"/>
      <c r="J22" s="256" t="s">
        <v>298</v>
      </c>
      <c r="K22" s="256" t="s">
        <v>267</v>
      </c>
      <c r="L22" s="629">
        <f>L23</f>
        <v>1400000</v>
      </c>
      <c r="M22" s="629">
        <f>M23</f>
        <v>535000</v>
      </c>
      <c r="N22" s="629">
        <f>M22-L22</f>
        <v>-865000</v>
      </c>
      <c r="O22" s="462">
        <f t="shared" si="11"/>
        <v>-61.785714285714292</v>
      </c>
      <c r="P22" s="697"/>
    </row>
    <row r="23" spans="1:16" ht="18" customHeight="1">
      <c r="A23" s="698"/>
      <c r="B23" s="256" t="s">
        <v>289</v>
      </c>
      <c r="C23" s="256" t="s">
        <v>267</v>
      </c>
      <c r="D23" s="187">
        <f>SUM(D24:D26)</f>
        <v>7096842</v>
      </c>
      <c r="E23" s="187">
        <f>SUM(E24:E26)</f>
        <v>7096842</v>
      </c>
      <c r="F23" s="187">
        <f>SUM(F24:F26)</f>
        <v>0</v>
      </c>
      <c r="G23" s="455">
        <f t="shared" si="12"/>
        <v>0</v>
      </c>
      <c r="H23" s="679"/>
      <c r="I23" s="666"/>
      <c r="J23" s="243"/>
      <c r="K23" s="243" t="s">
        <v>178</v>
      </c>
      <c r="L23" s="471">
        <f>'가. 세입세출(총괄)'!K22</f>
        <v>1400000</v>
      </c>
      <c r="M23" s="471">
        <f>'가. 세입세출(총괄)'!L22</f>
        <v>535000</v>
      </c>
      <c r="N23" s="471">
        <f>M23-L23</f>
        <v>-865000</v>
      </c>
      <c r="O23" s="463">
        <f t="shared" si="11"/>
        <v>-61.785714285714292</v>
      </c>
      <c r="P23" s="693"/>
    </row>
    <row r="24" spans="1:16" ht="18" customHeight="1">
      <c r="A24" s="691"/>
      <c r="B24" s="243"/>
      <c r="C24" s="243" t="s">
        <v>353</v>
      </c>
      <c r="D24" s="163">
        <f>'가. 세입세출(총괄)'!D23</f>
        <v>3012061</v>
      </c>
      <c r="E24" s="241">
        <f>'가. 세입세출(총괄)'!E23</f>
        <v>3012061</v>
      </c>
      <c r="F24" s="163">
        <f t="shared" ref="F24:F26" si="13">E24-D24</f>
        <v>0</v>
      </c>
      <c r="G24" s="453">
        <v>0</v>
      </c>
      <c r="H24" s="680"/>
      <c r="I24" s="667" t="s">
        <v>255</v>
      </c>
      <c r="J24" s="255" t="s">
        <v>310</v>
      </c>
      <c r="K24" s="255"/>
      <c r="L24" s="631">
        <f>SUM(L25+L30)</f>
        <v>22267000</v>
      </c>
      <c r="M24" s="631">
        <f>SUM(M25+M30)</f>
        <v>11362780</v>
      </c>
      <c r="N24" s="631">
        <f>M24-L24</f>
        <v>-10904220</v>
      </c>
      <c r="O24" s="466">
        <f t="shared" si="11"/>
        <v>-48.970314815646468</v>
      </c>
      <c r="P24" s="699"/>
    </row>
    <row r="25" spans="1:16" ht="18" customHeight="1">
      <c r="A25" s="691"/>
      <c r="B25" s="243"/>
      <c r="C25" s="243" t="s">
        <v>384</v>
      </c>
      <c r="D25" s="163">
        <f>'가. 세입세출(총괄)'!D24</f>
        <v>0</v>
      </c>
      <c r="E25" s="241">
        <f>'가. 세입세출(총괄)'!E24</f>
        <v>0</v>
      </c>
      <c r="F25" s="163">
        <f t="shared" si="13"/>
        <v>0</v>
      </c>
      <c r="G25" s="453">
        <v>0</v>
      </c>
      <c r="H25" s="680"/>
      <c r="I25" s="666"/>
      <c r="J25" s="256" t="s">
        <v>311</v>
      </c>
      <c r="K25" s="256" t="s">
        <v>267</v>
      </c>
      <c r="L25" s="629">
        <f>SUM(L26:L29)</f>
        <v>17400000</v>
      </c>
      <c r="M25" s="629">
        <f>SUM(M26:M29)</f>
        <v>9485110</v>
      </c>
      <c r="N25" s="629">
        <f>M25-L25</f>
        <v>-7914890</v>
      </c>
      <c r="O25" s="462">
        <f t="shared" si="11"/>
        <v>-45.487873563218386</v>
      </c>
      <c r="P25" s="697"/>
    </row>
    <row r="26" spans="1:16" ht="18" customHeight="1">
      <c r="A26" s="700"/>
      <c r="B26" s="243"/>
      <c r="C26" s="243" t="s">
        <v>325</v>
      </c>
      <c r="D26" s="163">
        <f>'가. 세입세출(총괄)'!D25</f>
        <v>4084781</v>
      </c>
      <c r="E26" s="241">
        <f>'가. 세입세출(총괄)'!E25</f>
        <v>4084781</v>
      </c>
      <c r="F26" s="163">
        <f t="shared" si="13"/>
        <v>0</v>
      </c>
      <c r="G26" s="453">
        <v>0</v>
      </c>
      <c r="H26" s="680"/>
      <c r="I26" s="666"/>
      <c r="J26" s="243"/>
      <c r="K26" s="243" t="s">
        <v>321</v>
      </c>
      <c r="L26" s="471">
        <f>'가. 세입세출(총괄)'!K25</f>
        <v>8820000</v>
      </c>
      <c r="M26" s="626">
        <f>'가. 세입세출(총괄)'!L25</f>
        <v>6071000</v>
      </c>
      <c r="N26" s="471">
        <f t="shared" ref="N26:N29" si="14">M26-L26</f>
        <v>-2749000</v>
      </c>
      <c r="O26" s="463">
        <f t="shared" si="11"/>
        <v>-31.167800453514737</v>
      </c>
      <c r="P26" s="693" t="s">
        <v>399</v>
      </c>
    </row>
    <row r="27" spans="1:16" ht="18" customHeight="1">
      <c r="A27" s="701" t="s">
        <v>318</v>
      </c>
      <c r="B27" s="262" t="s">
        <v>310</v>
      </c>
      <c r="C27" s="262"/>
      <c r="D27" s="250">
        <f>D28</f>
        <v>154978</v>
      </c>
      <c r="E27" s="250">
        <f>E28</f>
        <v>14875</v>
      </c>
      <c r="F27" s="250">
        <f>F28</f>
        <v>-140103</v>
      </c>
      <c r="G27" s="459">
        <f t="shared" ref="G27:G31" si="15">F27/D27*100</f>
        <v>-90.401863490301849</v>
      </c>
      <c r="H27" s="678"/>
      <c r="I27" s="666"/>
      <c r="J27" s="243"/>
      <c r="K27" s="243" t="s">
        <v>201</v>
      </c>
      <c r="L27" s="471">
        <f>'가. 세입세출(총괄)'!K26</f>
        <v>1380000</v>
      </c>
      <c r="M27" s="626">
        <f>'가. 세입세출(총괄)'!L26</f>
        <v>1116200</v>
      </c>
      <c r="N27" s="471">
        <f t="shared" si="14"/>
        <v>-263800</v>
      </c>
      <c r="O27" s="463">
        <f t="shared" si="11"/>
        <v>-19.115942028985508</v>
      </c>
      <c r="P27" s="693" t="s">
        <v>77</v>
      </c>
    </row>
    <row r="28" spans="1:16" ht="18" customHeight="1">
      <c r="A28" s="700"/>
      <c r="B28" s="256" t="s">
        <v>318</v>
      </c>
      <c r="C28" s="256" t="s">
        <v>267</v>
      </c>
      <c r="D28" s="187">
        <f>SUM(D29:D31)</f>
        <v>154978</v>
      </c>
      <c r="E28" s="187">
        <f>SUM(E29:E31)</f>
        <v>14875</v>
      </c>
      <c r="F28" s="187">
        <f>SUM(F29:F31)</f>
        <v>-140103</v>
      </c>
      <c r="G28" s="455">
        <f t="shared" si="15"/>
        <v>-90.401863490301849</v>
      </c>
      <c r="H28" s="679"/>
      <c r="I28" s="668"/>
      <c r="J28" s="252"/>
      <c r="K28" s="252" t="s">
        <v>320</v>
      </c>
      <c r="L28" s="627">
        <f>'가. 세입세출(총괄)'!K27</f>
        <v>600000</v>
      </c>
      <c r="M28" s="254">
        <f>'가. 세입세출(총괄)'!L27</f>
        <v>150000</v>
      </c>
      <c r="N28" s="471">
        <f t="shared" si="14"/>
        <v>-450000</v>
      </c>
      <c r="O28" s="467">
        <f t="shared" si="11"/>
        <v>-75</v>
      </c>
      <c r="P28" s="693" t="s">
        <v>2</v>
      </c>
    </row>
    <row r="29" spans="1:16" ht="18" customHeight="1">
      <c r="A29" s="691"/>
      <c r="B29" s="778"/>
      <c r="C29" s="778" t="s">
        <v>101</v>
      </c>
      <c r="D29" s="162">
        <f>'가. 세입세출(총괄)'!D28</f>
        <v>60000</v>
      </c>
      <c r="E29" s="241">
        <f>'가. 세입세출(총괄)'!E28</f>
        <v>0</v>
      </c>
      <c r="F29" s="163">
        <f>E29-D29</f>
        <v>-60000</v>
      </c>
      <c r="G29" s="779">
        <f t="shared" si="15"/>
        <v>-100</v>
      </c>
      <c r="H29" s="780" t="s">
        <v>128</v>
      </c>
      <c r="I29" s="668"/>
      <c r="J29" s="252"/>
      <c r="K29" s="252" t="s">
        <v>316</v>
      </c>
      <c r="L29" s="627">
        <f>'가. 세입세출(총괄)'!K28</f>
        <v>6600000</v>
      </c>
      <c r="M29" s="254">
        <f>'가. 세입세출(총괄)'!L28</f>
        <v>2147910</v>
      </c>
      <c r="N29" s="471">
        <f t="shared" si="14"/>
        <v>-4452090</v>
      </c>
      <c r="O29" s="467">
        <f t="shared" si="11"/>
        <v>-67.455909090909088</v>
      </c>
      <c r="P29" s="693" t="s">
        <v>78</v>
      </c>
    </row>
    <row r="30" spans="1:16" ht="18" customHeight="1">
      <c r="A30" s="788"/>
      <c r="B30" s="782"/>
      <c r="C30" s="783" t="s">
        <v>332</v>
      </c>
      <c r="D30" s="784">
        <f>'가. 세입세출(총괄)'!D29</f>
        <v>84978</v>
      </c>
      <c r="E30" s="784">
        <f>'가. 세입세출(총괄)'!E29</f>
        <v>14874</v>
      </c>
      <c r="F30" s="163">
        <f t="shared" ref="F30:F31" si="16">E30-D30</f>
        <v>-70104</v>
      </c>
      <c r="G30" s="779">
        <f t="shared" si="15"/>
        <v>-82.49664619077879</v>
      </c>
      <c r="H30" s="781"/>
      <c r="I30" s="668"/>
      <c r="J30" s="260" t="s">
        <v>255</v>
      </c>
      <c r="K30" s="260" t="s">
        <v>267</v>
      </c>
      <c r="L30" s="632">
        <f>SUM(L31:L35)</f>
        <v>4867000</v>
      </c>
      <c r="M30" s="632">
        <f>SUM(M31:M35)</f>
        <v>1877670</v>
      </c>
      <c r="N30" s="632">
        <f>M30-L30</f>
        <v>-2989330</v>
      </c>
      <c r="O30" s="468">
        <f t="shared" si="11"/>
        <v>-61.420382165605091</v>
      </c>
      <c r="P30" s="702"/>
    </row>
    <row r="31" spans="1:16" ht="18" customHeight="1">
      <c r="A31" s="789"/>
      <c r="B31" s="785"/>
      <c r="C31" s="786" t="s">
        <v>238</v>
      </c>
      <c r="D31" s="787">
        <f>'가. 세입세출(총괄)'!D30</f>
        <v>10000</v>
      </c>
      <c r="E31" s="787">
        <f>'가. 세입세출(총괄)'!E30</f>
        <v>1</v>
      </c>
      <c r="F31" s="470">
        <f t="shared" si="16"/>
        <v>-9999</v>
      </c>
      <c r="G31" s="790">
        <f t="shared" si="15"/>
        <v>-99.99</v>
      </c>
      <c r="H31" s="777"/>
      <c r="I31" s="668"/>
      <c r="J31" s="252"/>
      <c r="K31" s="252" t="s">
        <v>218</v>
      </c>
      <c r="L31" s="627">
        <f>'가. 세입세출(총괄)'!K30</f>
        <v>50000</v>
      </c>
      <c r="M31" s="254">
        <f>'가. 세입세출(총괄)'!L30</f>
        <v>25000</v>
      </c>
      <c r="N31" s="471">
        <f t="shared" ref="N31:N41" si="17">M31-L31</f>
        <v>-25000</v>
      </c>
      <c r="O31" s="467">
        <f t="shared" si="11"/>
        <v>-50</v>
      </c>
      <c r="P31" s="703" t="s">
        <v>42</v>
      </c>
    </row>
    <row r="32" spans="1:16" ht="18" customHeight="1">
      <c r="A32" s="899"/>
      <c r="B32" s="899"/>
      <c r="C32" s="899"/>
      <c r="D32" s="900"/>
      <c r="E32" s="901"/>
      <c r="F32" s="900"/>
      <c r="G32" s="902"/>
      <c r="H32" s="903"/>
      <c r="I32" s="251"/>
      <c r="J32" s="252"/>
      <c r="K32" s="252" t="s">
        <v>215</v>
      </c>
      <c r="L32" s="627">
        <f>'가. 세입세출(총괄)'!K31</f>
        <v>2395000</v>
      </c>
      <c r="M32" s="254">
        <f>'가. 세입세출(총괄)'!L31</f>
        <v>1037170</v>
      </c>
      <c r="N32" s="471">
        <f t="shared" si="17"/>
        <v>-1357830</v>
      </c>
      <c r="O32" s="467">
        <f t="shared" si="11"/>
        <v>-56.69436325678496</v>
      </c>
      <c r="P32" s="693" t="s">
        <v>397</v>
      </c>
    </row>
    <row r="33" spans="1:16" ht="18" customHeight="1">
      <c r="A33" s="669"/>
      <c r="B33" s="669"/>
      <c r="C33" s="669"/>
      <c r="D33" s="671"/>
      <c r="E33" s="670"/>
      <c r="F33" s="671"/>
      <c r="G33" s="672"/>
      <c r="H33" s="675"/>
      <c r="I33" s="251"/>
      <c r="J33" s="252"/>
      <c r="K33" s="252" t="s">
        <v>49</v>
      </c>
      <c r="L33" s="627">
        <f>'가. 세입세출(총괄)'!K32</f>
        <v>420000</v>
      </c>
      <c r="M33" s="254">
        <f>'가. 세입세출(총괄)'!L32</f>
        <v>33000</v>
      </c>
      <c r="N33" s="471">
        <f t="shared" si="17"/>
        <v>-387000</v>
      </c>
      <c r="O33" s="467">
        <f t="shared" si="11"/>
        <v>-92.142857142857139</v>
      </c>
      <c r="P33" s="693"/>
    </row>
    <row r="34" spans="1:16" ht="18" customHeight="1">
      <c r="A34" s="669"/>
      <c r="B34" s="669"/>
      <c r="C34" s="669"/>
      <c r="D34" s="671"/>
      <c r="E34" s="670"/>
      <c r="F34" s="671"/>
      <c r="G34" s="672"/>
      <c r="H34" s="675"/>
      <c r="I34" s="251"/>
      <c r="J34" s="252"/>
      <c r="K34" s="252" t="s">
        <v>203</v>
      </c>
      <c r="L34" s="627">
        <f>'가. 세입세출(총괄)'!K33</f>
        <v>360000</v>
      </c>
      <c r="M34" s="254">
        <f>'가. 세입세출(총괄)'!L33</f>
        <v>0</v>
      </c>
      <c r="N34" s="471">
        <f t="shared" si="17"/>
        <v>-360000</v>
      </c>
      <c r="O34" s="467">
        <f t="shared" si="11"/>
        <v>-100</v>
      </c>
      <c r="P34" s="693" t="s">
        <v>391</v>
      </c>
    </row>
    <row r="35" spans="1:16" ht="18" customHeight="1">
      <c r="A35" s="669"/>
      <c r="B35" s="669"/>
      <c r="C35" s="669"/>
      <c r="D35" s="671"/>
      <c r="E35" s="670"/>
      <c r="F35" s="671"/>
      <c r="G35" s="672"/>
      <c r="H35" s="675"/>
      <c r="I35" s="251"/>
      <c r="J35" s="252"/>
      <c r="K35" s="252" t="s">
        <v>340</v>
      </c>
      <c r="L35" s="627">
        <f>'가. 세입세출(총괄)'!K34</f>
        <v>1642000</v>
      </c>
      <c r="M35" s="254">
        <f>'가. 세입세출(총괄)'!L34</f>
        <v>782500</v>
      </c>
      <c r="N35" s="471">
        <f t="shared" si="17"/>
        <v>-859500</v>
      </c>
      <c r="O35" s="467">
        <v>0</v>
      </c>
      <c r="P35" s="693" t="s">
        <v>38</v>
      </c>
    </row>
    <row r="36" spans="1:16" ht="18" customHeight="1">
      <c r="A36" s="669"/>
      <c r="B36" s="669"/>
      <c r="C36" s="669"/>
      <c r="D36" s="671"/>
      <c r="E36" s="670"/>
      <c r="F36" s="671"/>
      <c r="G36" s="672"/>
      <c r="H36" s="675"/>
      <c r="I36" s="261" t="s">
        <v>308</v>
      </c>
      <c r="J36" s="262" t="s">
        <v>310</v>
      </c>
      <c r="K36" s="262"/>
      <c r="L36" s="633">
        <f>L37</f>
        <v>102039</v>
      </c>
      <c r="M36" s="633">
        <f>M37</f>
        <v>0</v>
      </c>
      <c r="N36" s="633">
        <f t="shared" si="17"/>
        <v>-102039</v>
      </c>
      <c r="O36" s="469">
        <f t="shared" ref="O36:O40" si="18">N36/L36*100</f>
        <v>-100</v>
      </c>
      <c r="P36" s="704"/>
    </row>
    <row r="37" spans="1:16" ht="18" customHeight="1">
      <c r="A37" s="673"/>
      <c r="B37" s="673"/>
      <c r="C37" s="673"/>
      <c r="D37" s="649"/>
      <c r="E37" s="649"/>
      <c r="F37" s="649"/>
      <c r="G37" s="674"/>
      <c r="H37" s="675"/>
      <c r="I37" s="251"/>
      <c r="J37" s="260" t="s">
        <v>308</v>
      </c>
      <c r="K37" s="260" t="s">
        <v>267</v>
      </c>
      <c r="L37" s="632">
        <f>L38</f>
        <v>102039</v>
      </c>
      <c r="M37" s="632">
        <f>M38</f>
        <v>0</v>
      </c>
      <c r="N37" s="632">
        <f t="shared" si="17"/>
        <v>-102039</v>
      </c>
      <c r="O37" s="468">
        <f t="shared" si="18"/>
        <v>-100</v>
      </c>
      <c r="P37" s="702"/>
    </row>
    <row r="38" spans="1:16" ht="18" customHeight="1">
      <c r="A38" s="669"/>
      <c r="B38" s="669"/>
      <c r="C38" s="669"/>
      <c r="D38" s="671"/>
      <c r="E38" s="671"/>
      <c r="F38" s="671"/>
      <c r="G38" s="672"/>
      <c r="H38" s="675"/>
      <c r="I38" s="251"/>
      <c r="J38" s="252"/>
      <c r="K38" s="252" t="s">
        <v>308</v>
      </c>
      <c r="L38" s="627">
        <f>'가. 세입세출(총괄)'!K38</f>
        <v>102039</v>
      </c>
      <c r="M38" s="254">
        <f>'가. 세입세출(총괄)'!L38</f>
        <v>0</v>
      </c>
      <c r="N38" s="471">
        <f t="shared" si="17"/>
        <v>-102039</v>
      </c>
      <c r="O38" s="467">
        <f t="shared" si="18"/>
        <v>-100</v>
      </c>
      <c r="P38" s="703"/>
    </row>
    <row r="39" spans="1:16" ht="18" customHeight="1">
      <c r="A39" s="673"/>
      <c r="B39" s="673"/>
      <c r="C39" s="673"/>
      <c r="D39" s="649"/>
      <c r="E39" s="670"/>
      <c r="F39" s="671"/>
      <c r="G39" s="674"/>
      <c r="H39" s="676"/>
      <c r="I39" s="261" t="s">
        <v>167</v>
      </c>
      <c r="J39" s="262" t="s">
        <v>310</v>
      </c>
      <c r="K39" s="262"/>
      <c r="L39" s="633">
        <f>L40</f>
        <v>4084781</v>
      </c>
      <c r="M39" s="633">
        <f>M40</f>
        <v>4084781</v>
      </c>
      <c r="N39" s="633">
        <f t="shared" si="17"/>
        <v>0</v>
      </c>
      <c r="O39" s="469">
        <f t="shared" si="18"/>
        <v>0</v>
      </c>
      <c r="P39" s="704"/>
    </row>
    <row r="40" spans="1:16" ht="20.25" customHeight="1">
      <c r="A40" s="673"/>
      <c r="B40" s="673"/>
      <c r="C40" s="673"/>
      <c r="D40" s="649"/>
      <c r="E40" s="670"/>
      <c r="F40" s="671"/>
      <c r="G40" s="674"/>
      <c r="H40" s="677"/>
      <c r="I40" s="251"/>
      <c r="J40" s="260" t="s">
        <v>167</v>
      </c>
      <c r="K40" s="260" t="s">
        <v>267</v>
      </c>
      <c r="L40" s="632">
        <f>L41</f>
        <v>4084781</v>
      </c>
      <c r="M40" s="632">
        <f>M41</f>
        <v>4084781</v>
      </c>
      <c r="N40" s="632">
        <f t="shared" si="17"/>
        <v>0</v>
      </c>
      <c r="O40" s="468">
        <f t="shared" si="18"/>
        <v>0</v>
      </c>
      <c r="P40" s="702"/>
    </row>
    <row r="41" spans="1:16" ht="21" customHeight="1">
      <c r="A41" s="673"/>
      <c r="B41" s="673"/>
      <c r="C41" s="673"/>
      <c r="D41" s="649"/>
      <c r="E41" s="649"/>
      <c r="F41" s="671"/>
      <c r="G41" s="674"/>
      <c r="H41" s="677"/>
      <c r="I41" s="251"/>
      <c r="J41" s="252"/>
      <c r="K41" s="252" t="s">
        <v>273</v>
      </c>
      <c r="L41" s="627">
        <f>'가. 세입세출(총괄)'!K41</f>
        <v>4084781</v>
      </c>
      <c r="M41" s="254">
        <f>'가. 세입세출(총괄)'!L41</f>
        <v>4084781</v>
      </c>
      <c r="N41" s="471">
        <f t="shared" si="17"/>
        <v>0</v>
      </c>
      <c r="O41" s="467">
        <v>0</v>
      </c>
      <c r="P41" s="693"/>
    </row>
    <row r="42" spans="1:16" ht="18" customHeight="1">
      <c r="A42" s="904"/>
      <c r="B42" s="904"/>
      <c r="C42" s="904"/>
      <c r="D42" s="904"/>
      <c r="E42" s="904"/>
      <c r="F42" s="904"/>
      <c r="G42" s="904"/>
      <c r="H42" s="905"/>
      <c r="I42" s="705" t="s">
        <v>111</v>
      </c>
      <c r="J42" s="706"/>
      <c r="K42" s="706"/>
      <c r="L42" s="707">
        <v>0</v>
      </c>
      <c r="M42" s="708">
        <f>'가. 세입세출(총괄)'!L42</f>
        <v>13603816</v>
      </c>
      <c r="N42" s="708">
        <f>M42-L42</f>
        <v>13603816</v>
      </c>
      <c r="O42" s="709">
        <v>0</v>
      </c>
      <c r="P42" s="710"/>
    </row>
  </sheetData>
  <mergeCells count="17">
    <mergeCell ref="A2:P2"/>
    <mergeCell ref="A8:C8"/>
    <mergeCell ref="I8:K8"/>
    <mergeCell ref="A6:C6"/>
    <mergeCell ref="E6:E7"/>
    <mergeCell ref="A5:H5"/>
    <mergeCell ref="I5:P5"/>
    <mergeCell ref="P6:P7"/>
    <mergeCell ref="D6:D7"/>
    <mergeCell ref="L6:L7"/>
    <mergeCell ref="F6:F7"/>
    <mergeCell ref="N6:N7"/>
    <mergeCell ref="H6:H7"/>
    <mergeCell ref="M6:M7"/>
    <mergeCell ref="I6:K6"/>
    <mergeCell ref="G6:G7"/>
    <mergeCell ref="O6:O7"/>
  </mergeCells>
  <phoneticPr fontId="41" type="noConversion"/>
  <pageMargins left="0.51180553436279297" right="0.31486111879348755" top="0.39361110329627991" bottom="0.35430556535720825" header="0.31486111879348755" footer="0.31486111879348755"/>
  <pageSetup paperSize="9" scale="72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FFFF"/>
  </sheetPr>
  <dimension ref="A1:W18"/>
  <sheetViews>
    <sheetView zoomScaleNormal="100" zoomScaleSheetLayoutView="75" workbookViewId="0">
      <selection activeCell="D6" activeCellId="1" sqref="A5:XFD6 A5:XFD6"/>
    </sheetView>
  </sheetViews>
  <sheetFormatPr defaultColWidth="8.75" defaultRowHeight="13.5"/>
  <cols>
    <col min="1" max="1" width="5.125" customWidth="1"/>
    <col min="2" max="2" width="8" bestFit="1" customWidth="1"/>
    <col min="3" max="3" width="7.625" style="34" customWidth="1"/>
    <col min="4" max="4" width="5.625" customWidth="1"/>
    <col min="5" max="5" width="6.75" style="34" customWidth="1"/>
    <col min="6" max="6" width="11.625" customWidth="1"/>
    <col min="7" max="7" width="10.75" customWidth="1"/>
    <col min="8" max="8" width="9" customWidth="1"/>
    <col min="9" max="9" width="11.5" customWidth="1"/>
    <col min="10" max="10" width="11.25" customWidth="1"/>
    <col min="11" max="11" width="11.125" style="34" customWidth="1"/>
    <col min="12" max="13" width="10.625" style="34" customWidth="1"/>
    <col min="14" max="16" width="9.875" style="34" customWidth="1"/>
    <col min="17" max="17" width="11.25" style="34" customWidth="1"/>
    <col min="18" max="18" width="11" style="34" customWidth="1"/>
    <col min="19" max="19" width="12.125" style="34" customWidth="1"/>
    <col min="20" max="20" width="11.125" style="34" customWidth="1"/>
    <col min="21" max="21" width="10.625" style="34" customWidth="1"/>
    <col min="22" max="22" width="11.125" style="34" customWidth="1"/>
    <col min="23" max="23" width="12.75" customWidth="1"/>
  </cols>
  <sheetData>
    <row r="1" spans="1:23" ht="17.25">
      <c r="A1" s="1084" t="s">
        <v>39</v>
      </c>
      <c r="B1" s="1084"/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  <c r="W1" s="1084"/>
    </row>
    <row r="2" spans="1:23" ht="16.5" customHeight="1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20.25" customHeight="1">
      <c r="A3" s="1080" t="s">
        <v>271</v>
      </c>
      <c r="B3" s="1080" t="s">
        <v>263</v>
      </c>
      <c r="C3" s="1080" t="s">
        <v>319</v>
      </c>
      <c r="D3" s="1080" t="s">
        <v>295</v>
      </c>
      <c r="E3" s="1080" t="s">
        <v>278</v>
      </c>
      <c r="F3" s="1085" t="s">
        <v>262</v>
      </c>
      <c r="G3" s="1087" t="s">
        <v>272</v>
      </c>
      <c r="H3" s="1088"/>
      <c r="I3" s="1088"/>
      <c r="J3" s="1089"/>
      <c r="K3" s="1071" t="s">
        <v>67</v>
      </c>
      <c r="L3" s="1071" t="s">
        <v>177</v>
      </c>
      <c r="M3" s="1071" t="s">
        <v>83</v>
      </c>
      <c r="N3" s="1071" t="s">
        <v>186</v>
      </c>
      <c r="O3" s="1071" t="s">
        <v>174</v>
      </c>
      <c r="P3" s="1071" t="s">
        <v>172</v>
      </c>
      <c r="Q3" s="1071" t="s">
        <v>86</v>
      </c>
      <c r="R3" s="1071" t="s">
        <v>79</v>
      </c>
      <c r="S3" s="1085" t="s">
        <v>300</v>
      </c>
      <c r="T3" s="1087" t="s">
        <v>379</v>
      </c>
      <c r="U3" s="1088"/>
      <c r="V3" s="1089"/>
      <c r="W3" s="1085" t="s">
        <v>281</v>
      </c>
    </row>
    <row r="4" spans="1:23" s="34" customFormat="1" ht="30" customHeight="1">
      <c r="A4" s="1081"/>
      <c r="B4" s="1081"/>
      <c r="C4" s="1081"/>
      <c r="D4" s="1081"/>
      <c r="E4" s="1081"/>
      <c r="F4" s="1086"/>
      <c r="G4" s="43" t="s">
        <v>182</v>
      </c>
      <c r="H4" s="43" t="s">
        <v>192</v>
      </c>
      <c r="I4" s="43" t="s">
        <v>106</v>
      </c>
      <c r="J4" s="43" t="s">
        <v>205</v>
      </c>
      <c r="K4" s="1072"/>
      <c r="L4" s="1072"/>
      <c r="M4" s="1072"/>
      <c r="N4" s="1072"/>
      <c r="O4" s="1072"/>
      <c r="P4" s="1072"/>
      <c r="Q4" s="1072"/>
      <c r="R4" s="1072"/>
      <c r="S4" s="1086"/>
      <c r="T4" s="479" t="s">
        <v>363</v>
      </c>
      <c r="U4" s="479" t="s">
        <v>371</v>
      </c>
      <c r="V4" s="793" t="s">
        <v>54</v>
      </c>
      <c r="W4" s="1086"/>
    </row>
    <row r="5" spans="1:23" ht="29.45" hidden="1" customHeight="1">
      <c r="A5" s="1073">
        <v>1</v>
      </c>
      <c r="B5" s="1075" t="s">
        <v>14</v>
      </c>
      <c r="C5" s="1079" t="s">
        <v>264</v>
      </c>
      <c r="D5" s="263" t="s">
        <v>284</v>
      </c>
      <c r="E5" s="1082" t="s">
        <v>299</v>
      </c>
      <c r="F5" s="45">
        <f>4718600*3</f>
        <v>14155800</v>
      </c>
      <c r="G5" s="45">
        <f>4718600*60%</f>
        <v>2831160</v>
      </c>
      <c r="H5" s="46">
        <v>0</v>
      </c>
      <c r="I5" s="47">
        <f>677400*3</f>
        <v>2032200</v>
      </c>
      <c r="J5" s="47">
        <f>SUM(G5:I5)</f>
        <v>4863360</v>
      </c>
      <c r="K5" s="47">
        <f>629150+449670+449670</f>
        <v>1528490</v>
      </c>
      <c r="L5" s="47">
        <v>650190</v>
      </c>
      <c r="M5" s="47">
        <v>83270</v>
      </c>
      <c r="N5" s="47">
        <v>0</v>
      </c>
      <c r="O5" s="47">
        <v>0</v>
      </c>
      <c r="P5" s="47">
        <v>0</v>
      </c>
      <c r="Q5" s="47">
        <f>SUM(L5:P5)</f>
        <v>733460</v>
      </c>
      <c r="R5" s="47">
        <f>SUM(K5+Q5)</f>
        <v>2261950</v>
      </c>
      <c r="S5" s="1077">
        <f>SUM(F5:F6)+SUM(J5:J6)+SUM(R5:R6)</f>
        <v>79253900</v>
      </c>
      <c r="T5" s="47">
        <f>250000*9</f>
        <v>2250000</v>
      </c>
      <c r="U5" s="47">
        <f>50000*9</f>
        <v>450000</v>
      </c>
      <c r="V5" s="47">
        <f>SUM(T5:U5)</f>
        <v>2700000</v>
      </c>
      <c r="W5" s="1090" t="s">
        <v>248</v>
      </c>
    </row>
    <row r="6" spans="1:23" s="34" customFormat="1" ht="29.45" hidden="1" customHeight="1">
      <c r="A6" s="1074"/>
      <c r="B6" s="1076"/>
      <c r="C6" s="1076"/>
      <c r="D6" s="263" t="s">
        <v>303</v>
      </c>
      <c r="E6" s="1083"/>
      <c r="F6" s="45">
        <f>4780100*9</f>
        <v>43020900</v>
      </c>
      <c r="G6" s="45">
        <f>4780100*60%</f>
        <v>2868060</v>
      </c>
      <c r="H6" s="46">
        <v>0</v>
      </c>
      <c r="I6" s="47">
        <f>686200*8</f>
        <v>5489600</v>
      </c>
      <c r="J6" s="47">
        <f>SUM(G6:I6)</f>
        <v>8357660</v>
      </c>
      <c r="K6" s="47">
        <f>454790+455530+455530+455530+455530+637350+455530+455530+512710</f>
        <v>4338030</v>
      </c>
      <c r="L6" s="47">
        <f>581020+658670+760340</f>
        <v>2000030</v>
      </c>
      <c r="M6" s="47">
        <f>74420+84360+97390</f>
        <v>256170</v>
      </c>
      <c r="N6" s="47">
        <v>0</v>
      </c>
      <c r="O6" s="47">
        <v>0</v>
      </c>
      <c r="P6" s="47">
        <v>0</v>
      </c>
      <c r="Q6" s="47">
        <f t="shared" ref="Q6:Q8" si="0">SUM(L6:P6)</f>
        <v>2256200</v>
      </c>
      <c r="R6" s="47">
        <f t="shared" ref="R6:R8" si="1">SUM(K6+Q6)</f>
        <v>6594230</v>
      </c>
      <c r="S6" s="1078"/>
      <c r="T6" s="71">
        <f>250000*3</f>
        <v>750000</v>
      </c>
      <c r="U6" s="71">
        <f>50000*3</f>
        <v>150000</v>
      </c>
      <c r="V6" s="738">
        <f t="shared" ref="V6:V7" si="2">SUM(T6:U6)</f>
        <v>900000</v>
      </c>
      <c r="W6" s="1074"/>
    </row>
    <row r="7" spans="1:23" ht="24" hidden="1" customHeight="1">
      <c r="A7" s="1073">
        <v>2</v>
      </c>
      <c r="B7" s="1075" t="s">
        <v>383</v>
      </c>
      <c r="C7" s="1079"/>
      <c r="D7" s="263"/>
      <c r="E7" s="1082" t="s">
        <v>269</v>
      </c>
      <c r="F7" s="264"/>
      <c r="G7" s="264"/>
      <c r="H7" s="46"/>
      <c r="I7" s="47"/>
      <c r="J7" s="47">
        <f>SUM(G7:I7)</f>
        <v>0</v>
      </c>
      <c r="K7" s="47"/>
      <c r="L7" s="47"/>
      <c r="M7" s="47"/>
      <c r="N7" s="47"/>
      <c r="O7" s="47"/>
      <c r="P7" s="47"/>
      <c r="Q7" s="47">
        <f t="shared" si="0"/>
        <v>0</v>
      </c>
      <c r="R7" s="47">
        <f t="shared" si="1"/>
        <v>0</v>
      </c>
      <c r="S7" s="1077">
        <f>SUM(F7:F8)+SUM(J7:J8)+SUM(R7:R8)</f>
        <v>0</v>
      </c>
      <c r="T7" s="737">
        <v>0</v>
      </c>
      <c r="U7" s="737">
        <v>0</v>
      </c>
      <c r="V7" s="47">
        <f t="shared" si="2"/>
        <v>0</v>
      </c>
      <c r="W7" s="1090"/>
    </row>
    <row r="8" spans="1:23" s="34" customFormat="1" ht="24" hidden="1" customHeight="1">
      <c r="A8" s="1074"/>
      <c r="B8" s="1076"/>
      <c r="C8" s="1076"/>
      <c r="D8" s="263"/>
      <c r="E8" s="1083"/>
      <c r="F8" s="264">
        <v>0</v>
      </c>
      <c r="G8" s="264">
        <v>0</v>
      </c>
      <c r="H8" s="46">
        <v>0</v>
      </c>
      <c r="I8" s="47">
        <v>0</v>
      </c>
      <c r="J8" s="47">
        <f>SUM(G8:I8)</f>
        <v>0</v>
      </c>
      <c r="K8" s="47">
        <v>0</v>
      </c>
      <c r="L8" s="47">
        <v>0</v>
      </c>
      <c r="M8" s="47">
        <v>0</v>
      </c>
      <c r="N8" s="47">
        <v>0</v>
      </c>
      <c r="O8" s="47">
        <v>0</v>
      </c>
      <c r="P8" s="47">
        <v>0</v>
      </c>
      <c r="Q8" s="47">
        <f t="shared" si="0"/>
        <v>0</v>
      </c>
      <c r="R8" s="47">
        <f t="shared" si="1"/>
        <v>0</v>
      </c>
      <c r="S8" s="1078"/>
      <c r="T8" s="62"/>
      <c r="U8" s="62"/>
      <c r="V8" s="71"/>
      <c r="W8" s="1074"/>
    </row>
    <row r="9" spans="1:23" ht="45" customHeight="1">
      <c r="A9" s="1092" t="s">
        <v>260</v>
      </c>
      <c r="B9" s="1093"/>
      <c r="C9" s="1093"/>
      <c r="D9" s="1093"/>
      <c r="E9" s="265"/>
      <c r="F9" s="265">
        <f>SUM(F5:F8)</f>
        <v>57176700</v>
      </c>
      <c r="G9" s="265">
        <f t="shared" ref="G9:V9" si="3">SUM(G5:G8)</f>
        <v>5699220</v>
      </c>
      <c r="H9" s="265">
        <f t="shared" si="3"/>
        <v>0</v>
      </c>
      <c r="I9" s="265">
        <f t="shared" si="3"/>
        <v>7521800</v>
      </c>
      <c r="J9" s="265">
        <f t="shared" si="3"/>
        <v>13221020</v>
      </c>
      <c r="K9" s="265">
        <f t="shared" si="3"/>
        <v>5866520</v>
      </c>
      <c r="L9" s="265">
        <f t="shared" si="3"/>
        <v>2650220</v>
      </c>
      <c r="M9" s="265">
        <f t="shared" si="3"/>
        <v>339440</v>
      </c>
      <c r="N9" s="265">
        <f t="shared" si="3"/>
        <v>0</v>
      </c>
      <c r="O9" s="265">
        <f t="shared" si="3"/>
        <v>0</v>
      </c>
      <c r="P9" s="265">
        <f t="shared" si="3"/>
        <v>0</v>
      </c>
      <c r="Q9" s="265">
        <f t="shared" si="3"/>
        <v>2989660</v>
      </c>
      <c r="R9" s="265">
        <f t="shared" si="3"/>
        <v>8856180</v>
      </c>
      <c r="S9" s="265">
        <f t="shared" si="3"/>
        <v>79253900</v>
      </c>
      <c r="T9" s="265">
        <f t="shared" si="3"/>
        <v>3000000</v>
      </c>
      <c r="U9" s="265">
        <f t="shared" si="3"/>
        <v>600000</v>
      </c>
      <c r="V9" s="265">
        <f t="shared" si="3"/>
        <v>3600000</v>
      </c>
      <c r="W9" s="49"/>
    </row>
    <row r="10" spans="1:23" ht="35.1" customHeight="1">
      <c r="A10" s="40"/>
      <c r="B10" s="40"/>
      <c r="C10" s="40"/>
      <c r="D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2"/>
    </row>
    <row r="11" spans="1:23" ht="35.1" customHeight="1">
      <c r="A11" s="1091"/>
      <c r="B11" s="1091"/>
      <c r="C11" s="1091"/>
      <c r="D11" s="1091"/>
      <c r="E11" s="1091"/>
      <c r="F11" s="1091"/>
      <c r="G11" s="1091"/>
      <c r="H11" s="1091"/>
      <c r="I11" s="1091"/>
      <c r="J11" s="1091"/>
      <c r="K11" s="1091"/>
      <c r="L11" s="1091"/>
      <c r="M11" s="1091"/>
      <c r="N11" s="1091"/>
      <c r="O11" s="1091"/>
      <c r="P11" s="1091"/>
      <c r="Q11" s="1091"/>
      <c r="R11" s="1091"/>
      <c r="S11" s="1091"/>
      <c r="T11" s="55"/>
      <c r="U11" s="55"/>
      <c r="V11" s="55"/>
      <c r="W11" s="42"/>
    </row>
    <row r="12" spans="1:23" ht="35.1" customHeight="1"/>
    <row r="13" spans="1:23" ht="35.1" customHeight="1"/>
    <row r="14" spans="1:23" ht="35.1" customHeight="1"/>
    <row r="15" spans="1:23" ht="35.1" customHeight="1"/>
    <row r="16" spans="1:23" ht="35.1" customHeight="1"/>
    <row r="17" ht="35.1" customHeight="1"/>
    <row r="18" ht="35.1" customHeight="1"/>
  </sheetData>
  <mergeCells count="33">
    <mergeCell ref="W5:W6"/>
    <mergeCell ref="W7:W8"/>
    <mergeCell ref="A11:S11"/>
    <mergeCell ref="A9:D9"/>
    <mergeCell ref="A7:A8"/>
    <mergeCell ref="B7:B8"/>
    <mergeCell ref="C7:C8"/>
    <mergeCell ref="S7:S8"/>
    <mergeCell ref="E7:E8"/>
    <mergeCell ref="A1:W1"/>
    <mergeCell ref="A3:A4"/>
    <mergeCell ref="B3:B4"/>
    <mergeCell ref="D3:D4"/>
    <mergeCell ref="F3:F4"/>
    <mergeCell ref="G3:J3"/>
    <mergeCell ref="K3:K4"/>
    <mergeCell ref="Q3:Q4"/>
    <mergeCell ref="S3:S4"/>
    <mergeCell ref="W3:W4"/>
    <mergeCell ref="R3:R4"/>
    <mergeCell ref="T3:V3"/>
    <mergeCell ref="C3:C4"/>
    <mergeCell ref="L3:L4"/>
    <mergeCell ref="M3:M4"/>
    <mergeCell ref="N3:N4"/>
    <mergeCell ref="O3:O4"/>
    <mergeCell ref="A5:A6"/>
    <mergeCell ref="B5:B6"/>
    <mergeCell ref="S5:S6"/>
    <mergeCell ref="C5:C6"/>
    <mergeCell ref="E3:E4"/>
    <mergeCell ref="E5:E6"/>
    <mergeCell ref="P3:P4"/>
  </mergeCells>
  <phoneticPr fontId="41" type="noConversion"/>
  <pageMargins left="0.31486111879348755" right="0.1180555522441864" top="0.94486111402511597" bottom="0.82666665315628052" header="0.31486111879348755" footer="0.31486111879348755"/>
  <pageSetup paperSize="9" scale="63" fitToHeight="0" orientation="landscape"/>
  <colBreaks count="1" manualBreakCount="1">
    <brk id="23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G20"/>
  <sheetViews>
    <sheetView zoomScaleNormal="100" zoomScaleSheetLayoutView="75" workbookViewId="0">
      <selection activeCell="J16" sqref="J16"/>
    </sheetView>
  </sheetViews>
  <sheetFormatPr defaultColWidth="9" defaultRowHeight="13.5"/>
  <cols>
    <col min="1" max="3" width="9" style="34"/>
    <col min="4" max="4" width="12.875" style="34" customWidth="1"/>
    <col min="5" max="5" width="9" style="34"/>
    <col min="6" max="6" width="14.875" style="34" customWidth="1"/>
    <col min="7" max="7" width="15.25" style="34" customWidth="1"/>
    <col min="8" max="16384" width="9" style="34"/>
  </cols>
  <sheetData>
    <row r="1" spans="1:7" ht="17.25">
      <c r="A1" s="1084" t="s">
        <v>50</v>
      </c>
      <c r="B1" s="1084"/>
      <c r="C1" s="1084"/>
      <c r="D1" s="1084"/>
      <c r="E1" s="1084"/>
      <c r="F1" s="1084"/>
      <c r="G1" s="1084"/>
    </row>
    <row r="2" spans="1:7" ht="24.75" customHeight="1">
      <c r="A2" s="59"/>
      <c r="B2" s="60"/>
      <c r="C2" s="60"/>
      <c r="D2" s="60"/>
      <c r="E2" s="60"/>
      <c r="F2" s="60"/>
      <c r="G2" s="60"/>
    </row>
    <row r="3" spans="1:7" ht="20.25" customHeight="1">
      <c r="A3" s="1080" t="s">
        <v>271</v>
      </c>
      <c r="B3" s="1080" t="s">
        <v>263</v>
      </c>
      <c r="C3" s="1080" t="s">
        <v>319</v>
      </c>
      <c r="D3" s="1085" t="s">
        <v>262</v>
      </c>
      <c r="E3" s="1071" t="s">
        <v>214</v>
      </c>
      <c r="F3" s="1085" t="s">
        <v>296</v>
      </c>
      <c r="G3" s="1085" t="s">
        <v>281</v>
      </c>
    </row>
    <row r="4" spans="1:7" ht="30" customHeight="1">
      <c r="A4" s="1081"/>
      <c r="B4" s="1081"/>
      <c r="C4" s="1081"/>
      <c r="D4" s="1086"/>
      <c r="E4" s="1072"/>
      <c r="F4" s="1086"/>
      <c r="G4" s="1086"/>
    </row>
    <row r="5" spans="1:7" ht="45" customHeight="1">
      <c r="A5" s="44"/>
      <c r="B5" s="480"/>
      <c r="C5" s="480"/>
      <c r="D5" s="45"/>
      <c r="E5" s="47"/>
      <c r="F5" s="48">
        <f>D5*E5</f>
        <v>0</v>
      </c>
      <c r="G5" s="70"/>
    </row>
    <row r="6" spans="1:7" ht="45" hidden="1" customHeight="1">
      <c r="A6" s="44">
        <v>2</v>
      </c>
      <c r="B6" s="69"/>
      <c r="C6" s="69"/>
      <c r="D6" s="45"/>
      <c r="E6" s="47"/>
      <c r="F6" s="48"/>
      <c r="G6" s="70"/>
    </row>
    <row r="7" spans="1:7" ht="45" hidden="1" customHeight="1">
      <c r="A7" s="44">
        <v>3</v>
      </c>
      <c r="B7" s="69"/>
      <c r="C7" s="69"/>
      <c r="D7" s="45"/>
      <c r="E7" s="47"/>
      <c r="F7" s="48"/>
      <c r="G7" s="44"/>
    </row>
    <row r="8" spans="1:7" ht="45" hidden="1" customHeight="1">
      <c r="A8" s="44">
        <v>4</v>
      </c>
      <c r="B8" s="69"/>
      <c r="C8" s="69"/>
      <c r="D8" s="45"/>
      <c r="E8" s="47"/>
      <c r="F8" s="48"/>
      <c r="G8" s="44"/>
    </row>
    <row r="9" spans="1:7" ht="45" hidden="1" customHeight="1">
      <c r="A9" s="44">
        <v>5</v>
      </c>
      <c r="B9" s="70"/>
      <c r="C9" s="70"/>
      <c r="D9" s="45"/>
      <c r="E9" s="47"/>
      <c r="F9" s="48"/>
      <c r="G9" s="44"/>
    </row>
    <row r="10" spans="1:7" ht="45" hidden="1" customHeight="1">
      <c r="A10" s="51">
        <v>6</v>
      </c>
      <c r="B10" s="51"/>
      <c r="C10" s="51"/>
      <c r="D10" s="52"/>
      <c r="E10" s="53"/>
      <c r="F10" s="53"/>
      <c r="G10" s="50"/>
    </row>
    <row r="11" spans="1:7" ht="45" customHeight="1">
      <c r="A11" s="1092" t="s">
        <v>260</v>
      </c>
      <c r="B11" s="1093"/>
      <c r="C11" s="1093"/>
      <c r="D11" s="48">
        <f>D5</f>
        <v>0</v>
      </c>
      <c r="E11" s="48"/>
      <c r="F11" s="48">
        <f>F5</f>
        <v>0</v>
      </c>
      <c r="G11" s="49"/>
    </row>
    <row r="12" spans="1:7" ht="35.1" customHeight="1">
      <c r="A12" s="40"/>
      <c r="B12" s="40"/>
      <c r="C12" s="40"/>
      <c r="D12" s="41"/>
      <c r="E12" s="41"/>
      <c r="F12" s="41"/>
      <c r="G12" s="42"/>
    </row>
    <row r="13" spans="1:7" ht="35.1" customHeight="1">
      <c r="A13" s="1091" t="s">
        <v>249</v>
      </c>
      <c r="B13" s="1091"/>
      <c r="C13" s="1091"/>
      <c r="D13" s="1091"/>
      <c r="E13" s="1091"/>
      <c r="F13" s="1091"/>
      <c r="G13" s="42"/>
    </row>
    <row r="14" spans="1:7" ht="35.1" customHeight="1"/>
    <row r="15" spans="1:7" ht="35.1" customHeight="1"/>
    <row r="16" spans="1:7" ht="35.1" customHeight="1"/>
    <row r="17" ht="35.1" customHeight="1"/>
    <row r="18" ht="35.1" customHeight="1"/>
    <row r="19" ht="35.1" customHeight="1"/>
    <row r="20" ht="35.1" customHeight="1"/>
  </sheetData>
  <mergeCells count="10">
    <mergeCell ref="A11:C11"/>
    <mergeCell ref="C3:C4"/>
    <mergeCell ref="A13:F13"/>
    <mergeCell ref="A1:G1"/>
    <mergeCell ref="A3:A4"/>
    <mergeCell ref="B3:B4"/>
    <mergeCell ref="D3:D4"/>
    <mergeCell ref="E3:E4"/>
    <mergeCell ref="F3:F4"/>
    <mergeCell ref="G3:G4"/>
  </mergeCells>
  <phoneticPr fontId="41" type="noConversion"/>
  <pageMargins left="0.98416668176651001" right="0.7086111307144165" top="0.74750000238418579" bottom="0.74750000238418579" header="0.31486111879348755" footer="0.31486111879348755"/>
  <pageSetup paperSize="9" fitToHeight="0" orientation="landscape"/>
  <colBreaks count="1" manualBreakCount="1">
    <brk id="7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FF"/>
  </sheetPr>
  <dimension ref="A1:H13"/>
  <sheetViews>
    <sheetView view="pageBreakPreview" zoomScaleNormal="100" zoomScaleSheetLayoutView="100" workbookViewId="0">
      <selection activeCell="O24" sqref="O24"/>
    </sheetView>
  </sheetViews>
  <sheetFormatPr defaultColWidth="9" defaultRowHeight="13.5"/>
  <cols>
    <col min="1" max="2" width="4.125" style="34" bestFit="1" customWidth="1"/>
    <col min="3" max="3" width="7.375" style="34" bestFit="1" customWidth="1"/>
    <col min="4" max="4" width="11.25" style="34" customWidth="1"/>
    <col min="5" max="5" width="14.625" style="34" customWidth="1"/>
    <col min="6" max="6" width="12.25" style="34" customWidth="1"/>
    <col min="7" max="7" width="20" style="34" customWidth="1"/>
    <col min="8" max="8" width="10" style="34" bestFit="1" customWidth="1"/>
    <col min="9" max="11" width="9" style="34"/>
    <col min="12" max="12" width="17.625" style="34" customWidth="1"/>
    <col min="13" max="16384" width="9" style="34"/>
  </cols>
  <sheetData>
    <row r="1" spans="1:8" s="488" customFormat="1" ht="32.25" customHeight="1">
      <c r="A1" s="1094" t="s">
        <v>44</v>
      </c>
      <c r="B1" s="1094"/>
      <c r="C1" s="1094"/>
      <c r="D1" s="1094"/>
      <c r="E1" s="1094"/>
      <c r="F1" s="1094"/>
      <c r="G1" s="1094"/>
      <c r="H1" s="1094"/>
    </row>
    <row r="2" spans="1:8" s="488" customFormat="1">
      <c r="A2" s="489"/>
      <c r="B2" s="489"/>
      <c r="C2" s="489"/>
      <c r="D2" s="489"/>
      <c r="E2" s="489"/>
      <c r="F2" s="489"/>
      <c r="G2" s="489"/>
      <c r="H2" s="489"/>
    </row>
    <row r="3" spans="1:8" s="488" customFormat="1">
      <c r="A3" s="489"/>
      <c r="B3" s="489"/>
      <c r="C3" s="489"/>
      <c r="D3" s="489"/>
      <c r="E3" s="489"/>
      <c r="F3" s="1095"/>
      <c r="G3" s="1095"/>
      <c r="H3" s="489"/>
    </row>
    <row r="4" spans="1:8" s="488" customFormat="1" ht="19.5" customHeight="1">
      <c r="A4" s="489"/>
      <c r="B4" s="489"/>
      <c r="C4" s="489"/>
      <c r="D4" s="489"/>
      <c r="E4" s="1096" t="s">
        <v>25</v>
      </c>
      <c r="F4" s="1096"/>
      <c r="G4" s="1096"/>
      <c r="H4" s="1096"/>
    </row>
    <row r="5" spans="1:8" s="488" customFormat="1" ht="27" customHeight="1">
      <c r="A5" s="490" t="s">
        <v>271</v>
      </c>
      <c r="B5" s="491" t="s">
        <v>313</v>
      </c>
      <c r="C5" s="491" t="s">
        <v>196</v>
      </c>
      <c r="D5" s="491" t="s">
        <v>217</v>
      </c>
      <c r="E5" s="491" t="s">
        <v>176</v>
      </c>
      <c r="F5" s="491" t="s">
        <v>126</v>
      </c>
      <c r="G5" s="1097" t="s">
        <v>281</v>
      </c>
      <c r="H5" s="1098"/>
    </row>
    <row r="6" spans="1:8" ht="18.75" customHeight="1">
      <c r="A6" s="497">
        <v>1</v>
      </c>
      <c r="B6" s="492" t="s">
        <v>256</v>
      </c>
      <c r="C6" s="492" t="s">
        <v>155</v>
      </c>
      <c r="D6" s="492" t="s">
        <v>266</v>
      </c>
      <c r="E6" s="493" t="s">
        <v>64</v>
      </c>
      <c r="F6" s="507">
        <v>5760520</v>
      </c>
      <c r="G6" s="495" t="s">
        <v>161</v>
      </c>
      <c r="H6" s="496" t="s">
        <v>292</v>
      </c>
    </row>
    <row r="7" spans="1:8" ht="18.75" customHeight="1">
      <c r="A7" s="492">
        <v>2</v>
      </c>
      <c r="B7" s="492" t="s">
        <v>256</v>
      </c>
      <c r="C7" s="492" t="s">
        <v>155</v>
      </c>
      <c r="D7" s="492" t="s">
        <v>266</v>
      </c>
      <c r="E7" s="493" t="s">
        <v>13</v>
      </c>
      <c r="F7" s="507">
        <v>80010</v>
      </c>
      <c r="G7" s="495" t="s">
        <v>52</v>
      </c>
      <c r="H7" s="496" t="s">
        <v>292</v>
      </c>
    </row>
    <row r="8" spans="1:8" ht="18.75" customHeight="1">
      <c r="A8" s="492">
        <v>3</v>
      </c>
      <c r="B8" s="492" t="s">
        <v>256</v>
      </c>
      <c r="C8" s="492" t="s">
        <v>155</v>
      </c>
      <c r="D8" s="492" t="s">
        <v>266</v>
      </c>
      <c r="E8" s="493" t="s">
        <v>68</v>
      </c>
      <c r="F8" s="507">
        <v>0</v>
      </c>
      <c r="G8" s="495" t="s">
        <v>355</v>
      </c>
      <c r="H8" s="496" t="s">
        <v>292</v>
      </c>
    </row>
    <row r="9" spans="1:8" ht="18.75" hidden="1" customHeight="1">
      <c r="A9" s="492">
        <v>9</v>
      </c>
      <c r="B9" s="492" t="s">
        <v>256</v>
      </c>
      <c r="C9" s="492" t="s">
        <v>155</v>
      </c>
      <c r="D9" s="492" t="s">
        <v>266</v>
      </c>
      <c r="E9" s="493"/>
      <c r="F9" s="498"/>
      <c r="G9" s="495"/>
      <c r="H9" s="496" t="s">
        <v>292</v>
      </c>
    </row>
    <row r="10" spans="1:8" ht="18.75" customHeight="1">
      <c r="A10" s="499"/>
      <c r="B10" s="500"/>
      <c r="C10" s="500" t="s">
        <v>235</v>
      </c>
      <c r="D10" s="500"/>
      <c r="E10" s="501"/>
      <c r="F10" s="502">
        <f>SUM(F6:F9)</f>
        <v>5840530</v>
      </c>
      <c r="G10" s="503"/>
      <c r="H10" s="504"/>
    </row>
    <row r="11" spans="1:8" ht="18.75" customHeight="1">
      <c r="A11" s="497">
        <v>9</v>
      </c>
      <c r="B11" s="492" t="s">
        <v>256</v>
      </c>
      <c r="C11" s="492" t="s">
        <v>155</v>
      </c>
      <c r="D11" s="492" t="s">
        <v>266</v>
      </c>
      <c r="E11" s="493" t="s">
        <v>71</v>
      </c>
      <c r="F11" s="494">
        <v>7763286</v>
      </c>
      <c r="G11" s="495" t="s">
        <v>89</v>
      </c>
      <c r="H11" s="496" t="s">
        <v>317</v>
      </c>
    </row>
    <row r="12" spans="1:8" ht="18.75" customHeight="1">
      <c r="A12" s="499"/>
      <c r="B12" s="500"/>
      <c r="C12" s="500" t="s">
        <v>139</v>
      </c>
      <c r="D12" s="500"/>
      <c r="E12" s="501"/>
      <c r="F12" s="502">
        <f>F11</f>
        <v>7763286</v>
      </c>
      <c r="G12" s="503"/>
      <c r="H12" s="504"/>
    </row>
    <row r="13" spans="1:8" s="506" customFormat="1" ht="27" customHeight="1">
      <c r="A13" s="1099" t="s">
        <v>366</v>
      </c>
      <c r="B13" s="1100"/>
      <c r="C13" s="1100"/>
      <c r="D13" s="1100"/>
      <c r="E13" s="1101"/>
      <c r="F13" s="505">
        <f>SUM(F10+F12)</f>
        <v>13603816</v>
      </c>
      <c r="G13" s="1099" t="s">
        <v>265</v>
      </c>
      <c r="H13" s="1101"/>
    </row>
  </sheetData>
  <mergeCells count="6">
    <mergeCell ref="A1:H1"/>
    <mergeCell ref="F3:G3"/>
    <mergeCell ref="E4:H4"/>
    <mergeCell ref="G5:H5"/>
    <mergeCell ref="A13:E13"/>
    <mergeCell ref="G13:H13"/>
  </mergeCells>
  <phoneticPr fontId="41" type="noConversion"/>
  <printOptions horizontalCentered="1"/>
  <pageMargins left="0.7086111307144165" right="0.7086111307144165" top="0.74750000238418579" bottom="0.74750000238418579" header="0.31486111879348755" footer="0.3148611187934875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view="pageBreakPreview" zoomScale="71" zoomScaleNormal="55" zoomScaleSheetLayoutView="71" workbookViewId="0">
      <selection activeCell="L49" sqref="L49:M49"/>
    </sheetView>
  </sheetViews>
  <sheetFormatPr defaultColWidth="9" defaultRowHeight="13.5"/>
  <cols>
    <col min="1" max="16384" width="9" style="34"/>
  </cols>
  <sheetData/>
  <phoneticPr fontId="41" type="noConversion"/>
  <printOptions horizontalCentered="1"/>
  <pageMargins left="0.7086111307144165" right="0.7086111307144165" top="0.74750000238418579" bottom="0.74750000238418579" header="0.31486111879348755" footer="0.3148611187934875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FFFF"/>
  </sheetPr>
  <dimension ref="A1:I18"/>
  <sheetViews>
    <sheetView view="pageBreakPreview" zoomScaleNormal="100" zoomScaleSheetLayoutView="100" workbookViewId="0">
      <selection activeCell="Q18" sqref="Q18"/>
    </sheetView>
  </sheetViews>
  <sheetFormatPr defaultColWidth="9" defaultRowHeight="13.5"/>
  <cols>
    <col min="1" max="1" width="13.75" style="34" customWidth="1"/>
    <col min="2" max="2" width="8.5" style="34" customWidth="1"/>
    <col min="3" max="3" width="13.125" style="34" customWidth="1"/>
    <col min="4" max="4" width="10.5" style="34" bestFit="1" customWidth="1"/>
    <col min="5" max="5" width="12.25" style="34" bestFit="1" customWidth="1"/>
    <col min="6" max="6" width="15.25" style="34" bestFit="1" customWidth="1"/>
    <col min="7" max="16384" width="9" style="34"/>
  </cols>
  <sheetData>
    <row r="1" spans="1:9" s="513" customFormat="1" ht="12" customHeight="1">
      <c r="A1" s="508"/>
      <c r="B1" s="509"/>
      <c r="C1" s="509"/>
      <c r="D1" s="509"/>
      <c r="E1" s="509"/>
      <c r="F1" s="509"/>
      <c r="G1" s="510"/>
      <c r="H1" s="511"/>
      <c r="I1" s="512"/>
    </row>
    <row r="2" spans="1:9" s="517" customFormat="1" ht="24">
      <c r="A2" s="1102" t="s">
        <v>396</v>
      </c>
      <c r="B2" s="1102"/>
      <c r="C2" s="1102"/>
      <c r="D2" s="1102"/>
      <c r="E2" s="1102"/>
      <c r="F2" s="1102"/>
      <c r="G2" s="514"/>
      <c r="H2" s="515"/>
      <c r="I2" s="516"/>
    </row>
    <row r="3" spans="1:9" s="523" customFormat="1" ht="27" customHeight="1">
      <c r="A3" s="518"/>
      <c r="B3" s="519"/>
      <c r="C3" s="519"/>
      <c r="D3" s="519"/>
      <c r="E3" s="520"/>
      <c r="F3" s="520"/>
      <c r="G3" s="521"/>
      <c r="H3" s="509"/>
      <c r="I3" s="522"/>
    </row>
    <row r="4" spans="1:9" s="530" customFormat="1" ht="34.5" customHeight="1">
      <c r="A4" s="524" t="s">
        <v>280</v>
      </c>
      <c r="B4" s="525" t="s">
        <v>220</v>
      </c>
      <c r="C4" s="525" t="s">
        <v>359</v>
      </c>
      <c r="D4" s="525" t="s">
        <v>375</v>
      </c>
      <c r="E4" s="525" t="s">
        <v>126</v>
      </c>
      <c r="F4" s="526" t="s">
        <v>281</v>
      </c>
      <c r="G4" s="527"/>
      <c r="H4" s="528"/>
      <c r="I4" s="529"/>
    </row>
    <row r="5" spans="1:9" s="536" customFormat="1" ht="36" customHeight="1">
      <c r="A5" s="531" t="s">
        <v>386</v>
      </c>
      <c r="B5" s="665"/>
      <c r="C5" s="532">
        <v>629150</v>
      </c>
      <c r="D5" s="532">
        <v>0</v>
      </c>
      <c r="E5" s="532">
        <f>B5+C5-D5</f>
        <v>629150</v>
      </c>
      <c r="F5" s="591"/>
      <c r="G5" s="533"/>
      <c r="H5" s="534"/>
      <c r="I5" s="535"/>
    </row>
    <row r="6" spans="1:9" s="536" customFormat="1" ht="36" customHeight="1">
      <c r="A6" s="537" t="s">
        <v>381</v>
      </c>
      <c r="B6" s="538"/>
      <c r="C6" s="539">
        <v>449670</v>
      </c>
      <c r="D6" s="539">
        <v>0</v>
      </c>
      <c r="E6" s="539">
        <f>E5+C6-D6</f>
        <v>1078820</v>
      </c>
      <c r="F6" s="540"/>
      <c r="G6" s="533"/>
      <c r="H6" s="534"/>
      <c r="I6" s="535"/>
    </row>
    <row r="7" spans="1:9" s="536" customFormat="1" ht="36" customHeight="1">
      <c r="A7" s="537" t="s">
        <v>362</v>
      </c>
      <c r="B7" s="538"/>
      <c r="C7" s="539">
        <v>449670</v>
      </c>
      <c r="D7" s="539">
        <v>0</v>
      </c>
      <c r="E7" s="539">
        <f t="shared" ref="E7:E15" si="0">E6+C7-D7</f>
        <v>1528490</v>
      </c>
      <c r="F7" s="540"/>
      <c r="G7" s="533"/>
      <c r="H7" s="534"/>
      <c r="I7" s="535"/>
    </row>
    <row r="8" spans="1:9" s="536" customFormat="1" ht="36" customHeight="1">
      <c r="A8" s="537" t="s">
        <v>328</v>
      </c>
      <c r="B8" s="538"/>
      <c r="C8" s="539">
        <v>454790</v>
      </c>
      <c r="D8" s="539">
        <v>0</v>
      </c>
      <c r="E8" s="539">
        <f t="shared" si="0"/>
        <v>1983280</v>
      </c>
      <c r="F8" s="540"/>
      <c r="G8" s="533"/>
      <c r="H8" s="534"/>
      <c r="I8" s="535"/>
    </row>
    <row r="9" spans="1:9" s="536" customFormat="1" ht="36" customHeight="1">
      <c r="A9" s="537" t="s">
        <v>360</v>
      </c>
      <c r="B9" s="538"/>
      <c r="C9" s="539">
        <v>455530</v>
      </c>
      <c r="D9" s="539">
        <v>0</v>
      </c>
      <c r="E9" s="539">
        <f t="shared" si="0"/>
        <v>2438810</v>
      </c>
      <c r="F9" s="540"/>
      <c r="G9" s="533"/>
      <c r="H9" s="534"/>
      <c r="I9" s="535"/>
    </row>
    <row r="10" spans="1:9" s="536" customFormat="1" ht="36" customHeight="1">
      <c r="A10" s="537" t="s">
        <v>357</v>
      </c>
      <c r="B10" s="538"/>
      <c r="C10" s="539">
        <v>455530</v>
      </c>
      <c r="D10" s="539">
        <v>0</v>
      </c>
      <c r="E10" s="539">
        <f t="shared" si="0"/>
        <v>2894340</v>
      </c>
      <c r="F10" s="540"/>
      <c r="G10" s="533"/>
      <c r="H10" s="534"/>
      <c r="I10" s="535"/>
    </row>
    <row r="11" spans="1:9" s="536" customFormat="1" ht="36" customHeight="1">
      <c r="A11" s="537" t="s">
        <v>373</v>
      </c>
      <c r="B11" s="538"/>
      <c r="C11" s="539">
        <v>455530</v>
      </c>
      <c r="D11" s="539">
        <v>0</v>
      </c>
      <c r="E11" s="539">
        <f t="shared" si="0"/>
        <v>3349870</v>
      </c>
      <c r="F11" s="540"/>
      <c r="G11" s="533"/>
      <c r="H11" s="534"/>
      <c r="I11" s="535"/>
    </row>
    <row r="12" spans="1:9" s="536" customFormat="1" ht="36" customHeight="1">
      <c r="A12" s="537" t="s">
        <v>323</v>
      </c>
      <c r="B12" s="538"/>
      <c r="C12" s="539">
        <v>455530</v>
      </c>
      <c r="D12" s="539">
        <v>0</v>
      </c>
      <c r="E12" s="539">
        <f t="shared" si="0"/>
        <v>3805400</v>
      </c>
      <c r="F12" s="540"/>
      <c r="G12" s="533"/>
      <c r="H12" s="534"/>
      <c r="I12" s="535"/>
    </row>
    <row r="13" spans="1:9" s="536" customFormat="1" ht="36" customHeight="1">
      <c r="A13" s="537" t="s">
        <v>354</v>
      </c>
      <c r="B13" s="538"/>
      <c r="C13" s="539">
        <v>637350</v>
      </c>
      <c r="D13" s="539"/>
      <c r="E13" s="539">
        <f t="shared" si="0"/>
        <v>4442750</v>
      </c>
      <c r="F13" s="634"/>
      <c r="G13" s="533"/>
      <c r="H13" s="534"/>
      <c r="I13" s="535"/>
    </row>
    <row r="14" spans="1:9" s="536" customFormat="1" ht="36" customHeight="1">
      <c r="A14" s="537" t="s">
        <v>347</v>
      </c>
      <c r="B14" s="538"/>
      <c r="C14" s="539">
        <v>455530</v>
      </c>
      <c r="D14" s="539">
        <v>0</v>
      </c>
      <c r="E14" s="539">
        <f t="shared" si="0"/>
        <v>4898280</v>
      </c>
      <c r="F14" s="540"/>
      <c r="G14" s="533"/>
      <c r="H14" s="534"/>
      <c r="I14" s="535"/>
    </row>
    <row r="15" spans="1:9" s="536" customFormat="1" ht="36" customHeight="1">
      <c r="A15" s="537" t="s">
        <v>368</v>
      </c>
      <c r="B15" s="538"/>
      <c r="C15" s="539">
        <v>455530</v>
      </c>
      <c r="D15" s="539">
        <v>0</v>
      </c>
      <c r="E15" s="539">
        <f t="shared" si="0"/>
        <v>5353810</v>
      </c>
      <c r="F15" s="540"/>
      <c r="G15" s="533"/>
      <c r="H15" s="534"/>
      <c r="I15" s="535"/>
    </row>
    <row r="16" spans="1:9" s="536" customFormat="1" ht="36" customHeight="1">
      <c r="A16" s="537" t="s">
        <v>361</v>
      </c>
      <c r="B16" s="538"/>
      <c r="C16" s="539">
        <v>512710</v>
      </c>
      <c r="D16" s="539"/>
      <c r="E16" s="539">
        <f>B16+E15+C16-D16</f>
        <v>5866520</v>
      </c>
      <c r="F16" s="592"/>
      <c r="G16" s="533"/>
      <c r="H16" s="534"/>
      <c r="I16" s="535"/>
    </row>
    <row r="17" spans="1:9" s="546" customFormat="1" ht="36" customHeight="1">
      <c r="A17" s="541" t="s">
        <v>310</v>
      </c>
      <c r="B17" s="542">
        <f>SUM(B5:B16)</f>
        <v>0</v>
      </c>
      <c r="C17" s="543">
        <f>SUM(C5:C16)</f>
        <v>5866520</v>
      </c>
      <c r="D17" s="543">
        <f>SUM(D5:D16)</f>
        <v>0</v>
      </c>
      <c r="E17" s="543">
        <f>B17+C17-D17</f>
        <v>5866520</v>
      </c>
      <c r="F17" s="544"/>
      <c r="G17" s="545"/>
      <c r="I17" s="547"/>
    </row>
    <row r="18" spans="1:9" s="513" customFormat="1" ht="24.95" customHeight="1">
      <c r="A18" s="548"/>
      <c r="E18" s="1103"/>
      <c r="F18" s="1103"/>
      <c r="G18" s="510"/>
      <c r="H18" s="511"/>
      <c r="I18" s="512"/>
    </row>
  </sheetData>
  <mergeCells count="2">
    <mergeCell ref="A2:F2"/>
    <mergeCell ref="E18:F18"/>
  </mergeCells>
  <phoneticPr fontId="41" type="noConversion"/>
  <printOptions horizontalCentered="1"/>
  <pageMargins left="0.7086111307144165" right="0.7086111307144165" top="0.74750000238418579" bottom="0.74750000238418579" header="0.31486111879348755" footer="0.3148611187934875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FF"/>
  </sheetPr>
  <dimension ref="A1:Y26"/>
  <sheetViews>
    <sheetView view="pageBreakPreview" topLeftCell="C1" zoomScale="71" zoomScaleNormal="100" zoomScaleSheetLayoutView="71" workbookViewId="0">
      <selection activeCell="AN55" sqref="AN55"/>
    </sheetView>
  </sheetViews>
  <sheetFormatPr defaultColWidth="9" defaultRowHeight="13.5"/>
  <cols>
    <col min="1" max="2" width="0" style="34" hidden="1" customWidth="1"/>
    <col min="3" max="3" width="16.375" style="34" bestFit="1" customWidth="1"/>
    <col min="4" max="4" width="0" style="34" hidden="1" customWidth="1"/>
    <col min="5" max="5" width="4.625" style="34" bestFit="1" customWidth="1"/>
    <col min="6" max="6" width="13.25" style="34" customWidth="1"/>
    <col min="7" max="7" width="1.125" style="34" hidden="1" customWidth="1"/>
    <col min="8" max="8" width="13.25" style="34" bestFit="1" customWidth="1"/>
    <col min="9" max="10" width="0" style="34" hidden="1" customWidth="1"/>
    <col min="11" max="11" width="19.25" style="34" customWidth="1"/>
    <col min="12" max="12" width="18.25" style="34" customWidth="1"/>
    <col min="13" max="22" width="0" style="34" hidden="1" customWidth="1"/>
    <col min="23" max="23" width="14" style="34" hidden="1" customWidth="1"/>
    <col min="24" max="25" width="0" style="34" hidden="1" customWidth="1"/>
    <col min="26" max="16384" width="9" style="34"/>
  </cols>
  <sheetData>
    <row r="1" spans="1:25" ht="24">
      <c r="A1" s="549"/>
      <c r="B1" s="549"/>
      <c r="C1" s="1104" t="s">
        <v>400</v>
      </c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4"/>
      <c r="O1" s="1104"/>
      <c r="P1" s="1104"/>
      <c r="Q1" s="1104"/>
      <c r="R1" s="549"/>
      <c r="S1" s="549"/>
      <c r="T1" s="549"/>
      <c r="U1" s="549"/>
      <c r="V1" s="549"/>
      <c r="W1" s="549"/>
    </row>
    <row r="2" spans="1:25" ht="16.5">
      <c r="A2" s="549"/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  <c r="Q2" s="549"/>
      <c r="R2" s="549"/>
      <c r="S2" s="549"/>
      <c r="T2" s="549"/>
      <c r="U2" s="549"/>
      <c r="V2" s="549"/>
      <c r="W2" s="549"/>
    </row>
    <row r="3" spans="1:25" ht="17.25">
      <c r="A3" s="1105" t="s">
        <v>66</v>
      </c>
      <c r="B3" s="1105"/>
      <c r="C3" s="1105"/>
      <c r="D3" s="1105"/>
      <c r="E3" s="1105"/>
      <c r="F3" s="1105"/>
      <c r="G3" s="1105"/>
      <c r="H3" s="1105"/>
      <c r="I3" s="1105"/>
      <c r="J3" s="1105"/>
      <c r="K3" s="1105"/>
      <c r="L3" s="1105"/>
      <c r="M3" s="1105"/>
      <c r="N3" s="1105"/>
      <c r="O3" s="1105"/>
      <c r="P3" s="1105"/>
      <c r="Q3" s="1105"/>
      <c r="R3" s="1105"/>
      <c r="S3" s="1105"/>
      <c r="T3" s="1105"/>
      <c r="U3" s="1105"/>
      <c r="V3" s="1105"/>
      <c r="W3" s="1105"/>
    </row>
    <row r="4" spans="1:25" ht="27.75" customHeight="1">
      <c r="A4" s="550" t="s">
        <v>99</v>
      </c>
      <c r="B4" s="550" t="s">
        <v>117</v>
      </c>
      <c r="C4" s="551" t="s">
        <v>115</v>
      </c>
      <c r="D4" s="551" t="s">
        <v>185</v>
      </c>
      <c r="E4" s="551" t="s">
        <v>288</v>
      </c>
      <c r="F4" s="551" t="s">
        <v>123</v>
      </c>
      <c r="G4" s="551" t="s">
        <v>348</v>
      </c>
      <c r="H4" s="551" t="s">
        <v>171</v>
      </c>
      <c r="I4" s="551" t="s">
        <v>148</v>
      </c>
      <c r="J4" s="551" t="s">
        <v>181</v>
      </c>
      <c r="K4" s="551" t="s">
        <v>187</v>
      </c>
      <c r="L4" s="551" t="s">
        <v>164</v>
      </c>
      <c r="M4" s="552" t="s">
        <v>234</v>
      </c>
      <c r="N4" s="552" t="s">
        <v>108</v>
      </c>
      <c r="O4" s="552" t="s">
        <v>211</v>
      </c>
      <c r="P4" s="552" t="s">
        <v>222</v>
      </c>
      <c r="Q4" s="552" t="s">
        <v>195</v>
      </c>
      <c r="R4" s="552" t="s">
        <v>168</v>
      </c>
      <c r="S4" s="552" t="s">
        <v>377</v>
      </c>
      <c r="T4" s="552" t="s">
        <v>193</v>
      </c>
      <c r="U4" s="552" t="s">
        <v>159</v>
      </c>
      <c r="V4" s="552" t="s">
        <v>107</v>
      </c>
      <c r="W4" s="552" t="s">
        <v>219</v>
      </c>
      <c r="X4" s="553" t="s">
        <v>151</v>
      </c>
      <c r="Y4" s="553" t="s">
        <v>230</v>
      </c>
    </row>
    <row r="5" spans="1:25" ht="24" customHeight="1">
      <c r="A5" s="554" t="s">
        <v>65</v>
      </c>
      <c r="B5" s="554">
        <v>829042743</v>
      </c>
      <c r="C5" s="555" t="s">
        <v>170</v>
      </c>
      <c r="D5" s="555" t="s">
        <v>245</v>
      </c>
      <c r="E5" s="555" t="s">
        <v>277</v>
      </c>
      <c r="F5" s="561" t="s">
        <v>53</v>
      </c>
      <c r="G5" s="555" t="s">
        <v>350</v>
      </c>
      <c r="H5" s="555" t="s">
        <v>137</v>
      </c>
      <c r="I5" s="554" t="s">
        <v>102</v>
      </c>
      <c r="J5" s="554" t="s">
        <v>194</v>
      </c>
      <c r="K5" s="556">
        <v>5866520</v>
      </c>
      <c r="L5" s="556">
        <v>5866520</v>
      </c>
      <c r="M5" s="554">
        <v>16540610</v>
      </c>
      <c r="N5" s="554">
        <v>0</v>
      </c>
      <c r="O5" s="554">
        <v>0</v>
      </c>
      <c r="P5" s="554">
        <v>0</v>
      </c>
      <c r="Q5" s="554">
        <v>0</v>
      </c>
      <c r="R5" s="554">
        <v>0</v>
      </c>
      <c r="S5" s="554">
        <v>0</v>
      </c>
      <c r="T5" s="554">
        <v>0</v>
      </c>
      <c r="U5" s="554">
        <v>0</v>
      </c>
      <c r="V5" s="554">
        <v>0</v>
      </c>
      <c r="W5" s="554" t="s">
        <v>339</v>
      </c>
      <c r="X5" s="557">
        <v>1378384</v>
      </c>
      <c r="Y5" s="557" t="s">
        <v>378</v>
      </c>
    </row>
    <row r="6" spans="1:25" ht="24" hidden="1" customHeight="1">
      <c r="A6" s="554" t="s">
        <v>65</v>
      </c>
      <c r="B6" s="554">
        <v>829042743</v>
      </c>
      <c r="C6" s="555" t="s">
        <v>170</v>
      </c>
      <c r="D6" s="555" t="s">
        <v>245</v>
      </c>
      <c r="E6" s="555" t="s">
        <v>277</v>
      </c>
      <c r="F6" s="561" t="s">
        <v>4</v>
      </c>
      <c r="G6" s="555" t="s">
        <v>370</v>
      </c>
      <c r="H6" s="555" t="s">
        <v>137</v>
      </c>
      <c r="I6" s="554" t="s">
        <v>102</v>
      </c>
      <c r="J6" s="554" t="s">
        <v>194</v>
      </c>
      <c r="K6" s="556"/>
      <c r="L6" s="556"/>
      <c r="M6" s="554">
        <v>14842120</v>
      </c>
      <c r="N6" s="554">
        <v>0</v>
      </c>
      <c r="O6" s="554">
        <v>0</v>
      </c>
      <c r="P6" s="554">
        <v>0</v>
      </c>
      <c r="Q6" s="554">
        <v>0</v>
      </c>
      <c r="R6" s="554">
        <v>0</v>
      </c>
      <c r="S6" s="554">
        <v>0</v>
      </c>
      <c r="T6" s="554">
        <v>0</v>
      </c>
      <c r="U6" s="554">
        <v>0</v>
      </c>
      <c r="V6" s="554">
        <v>0</v>
      </c>
      <c r="W6" s="554" t="s">
        <v>339</v>
      </c>
      <c r="X6" s="557">
        <v>1236843</v>
      </c>
      <c r="Y6" s="557" t="s">
        <v>378</v>
      </c>
    </row>
    <row r="7" spans="1:25" ht="24" hidden="1" customHeight="1">
      <c r="A7" s="554" t="s">
        <v>65</v>
      </c>
      <c r="B7" s="554">
        <v>829042743</v>
      </c>
      <c r="C7" s="555"/>
      <c r="D7" s="555"/>
      <c r="E7" s="555"/>
      <c r="F7" s="555"/>
      <c r="G7" s="555"/>
      <c r="H7" s="555"/>
      <c r="I7" s="554"/>
      <c r="J7" s="554"/>
      <c r="K7" s="556"/>
      <c r="L7" s="556"/>
      <c r="M7" s="554">
        <v>12664800</v>
      </c>
      <c r="N7" s="554">
        <v>0</v>
      </c>
      <c r="O7" s="554">
        <v>0</v>
      </c>
      <c r="P7" s="554">
        <v>0</v>
      </c>
      <c r="Q7" s="554">
        <v>0</v>
      </c>
      <c r="R7" s="554">
        <v>0</v>
      </c>
      <c r="S7" s="554">
        <v>0</v>
      </c>
      <c r="T7" s="554">
        <v>0</v>
      </c>
      <c r="U7" s="554">
        <v>0</v>
      </c>
      <c r="V7" s="554">
        <v>0</v>
      </c>
      <c r="W7" s="554" t="s">
        <v>339</v>
      </c>
      <c r="X7" s="557">
        <v>1055400</v>
      </c>
      <c r="Y7" s="557" t="s">
        <v>378</v>
      </c>
    </row>
    <row r="8" spans="1:25" ht="24" hidden="1" customHeight="1">
      <c r="A8" s="554" t="s">
        <v>65</v>
      </c>
      <c r="B8" s="554">
        <v>829042743</v>
      </c>
      <c r="C8" s="555"/>
      <c r="D8" s="555"/>
      <c r="E8" s="555"/>
      <c r="F8" s="555"/>
      <c r="G8" s="555"/>
      <c r="H8" s="555"/>
      <c r="I8" s="554"/>
      <c r="J8" s="554"/>
      <c r="K8" s="556"/>
      <c r="L8" s="556"/>
      <c r="M8" s="554">
        <v>12112210</v>
      </c>
      <c r="N8" s="554">
        <v>0</v>
      </c>
      <c r="O8" s="554">
        <v>0</v>
      </c>
      <c r="P8" s="554">
        <v>0</v>
      </c>
      <c r="Q8" s="554">
        <v>0</v>
      </c>
      <c r="R8" s="554">
        <v>0</v>
      </c>
      <c r="S8" s="554">
        <v>0</v>
      </c>
      <c r="T8" s="554">
        <v>0</v>
      </c>
      <c r="U8" s="554">
        <v>0</v>
      </c>
      <c r="V8" s="554">
        <v>0</v>
      </c>
      <c r="W8" s="554" t="s">
        <v>339</v>
      </c>
      <c r="X8" s="557">
        <v>1009350</v>
      </c>
      <c r="Y8" s="557" t="s">
        <v>378</v>
      </c>
    </row>
    <row r="9" spans="1:25" ht="24" hidden="1" customHeight="1">
      <c r="A9" s="554" t="s">
        <v>65</v>
      </c>
      <c r="B9" s="554">
        <v>829042743</v>
      </c>
      <c r="C9" s="555"/>
      <c r="D9" s="555"/>
      <c r="E9" s="555"/>
      <c r="F9" s="555"/>
      <c r="G9" s="555"/>
      <c r="H9" s="555"/>
      <c r="I9" s="554"/>
      <c r="J9" s="554"/>
      <c r="K9" s="556"/>
      <c r="L9" s="556"/>
      <c r="M9" s="554">
        <v>1524460</v>
      </c>
      <c r="N9" s="554">
        <v>0</v>
      </c>
      <c r="O9" s="554">
        <v>0</v>
      </c>
      <c r="P9" s="554">
        <v>0</v>
      </c>
      <c r="Q9" s="554">
        <v>0</v>
      </c>
      <c r="R9" s="554">
        <v>0</v>
      </c>
      <c r="S9" s="554">
        <v>0</v>
      </c>
      <c r="T9" s="554">
        <v>0</v>
      </c>
      <c r="U9" s="554">
        <v>0</v>
      </c>
      <c r="V9" s="554">
        <v>0</v>
      </c>
      <c r="W9" s="554" t="s">
        <v>339</v>
      </c>
      <c r="X9" s="557">
        <v>127038</v>
      </c>
      <c r="Y9" s="557" t="s">
        <v>378</v>
      </c>
    </row>
    <row r="10" spans="1:25" ht="24" hidden="1" customHeight="1">
      <c r="A10" s="554" t="s">
        <v>65</v>
      </c>
      <c r="B10" s="554">
        <v>829042743</v>
      </c>
      <c r="C10" s="555"/>
      <c r="D10" s="555"/>
      <c r="E10" s="555"/>
      <c r="F10" s="555"/>
      <c r="G10" s="555"/>
      <c r="H10" s="555"/>
      <c r="I10" s="554"/>
      <c r="J10" s="554"/>
      <c r="K10" s="556"/>
      <c r="L10" s="556"/>
      <c r="M10" s="554">
        <v>14012310</v>
      </c>
      <c r="N10" s="554">
        <v>0</v>
      </c>
      <c r="O10" s="554">
        <v>0</v>
      </c>
      <c r="P10" s="554">
        <v>0</v>
      </c>
      <c r="Q10" s="554">
        <v>0</v>
      </c>
      <c r="R10" s="554">
        <v>0</v>
      </c>
      <c r="S10" s="554">
        <v>0</v>
      </c>
      <c r="T10" s="554">
        <v>0</v>
      </c>
      <c r="U10" s="554">
        <v>0</v>
      </c>
      <c r="V10" s="554">
        <v>0</v>
      </c>
      <c r="W10" s="554" t="s">
        <v>339</v>
      </c>
      <c r="X10" s="557">
        <v>1167692</v>
      </c>
      <c r="Y10" s="557" t="s">
        <v>378</v>
      </c>
    </row>
    <row r="11" spans="1:25" ht="24" hidden="1" customHeight="1">
      <c r="A11" s="554" t="s">
        <v>65</v>
      </c>
      <c r="B11" s="554">
        <v>829042743</v>
      </c>
      <c r="C11" s="555"/>
      <c r="D11" s="555"/>
      <c r="E11" s="555"/>
      <c r="F11" s="555"/>
      <c r="G11" s="555"/>
      <c r="H11" s="555"/>
      <c r="I11" s="554"/>
      <c r="J11" s="554"/>
      <c r="K11" s="556"/>
      <c r="L11" s="556"/>
      <c r="M11" s="554">
        <v>13716420</v>
      </c>
      <c r="N11" s="554">
        <v>0</v>
      </c>
      <c r="O11" s="554">
        <v>0</v>
      </c>
      <c r="P11" s="554">
        <v>0</v>
      </c>
      <c r="Q11" s="554">
        <v>0</v>
      </c>
      <c r="R11" s="554">
        <v>0</v>
      </c>
      <c r="S11" s="554">
        <v>0</v>
      </c>
      <c r="T11" s="554">
        <v>0</v>
      </c>
      <c r="U11" s="554">
        <v>0</v>
      </c>
      <c r="V11" s="554">
        <v>0</v>
      </c>
      <c r="W11" s="554" t="s">
        <v>339</v>
      </c>
      <c r="X11" s="557">
        <v>1143035</v>
      </c>
      <c r="Y11" s="557" t="s">
        <v>378</v>
      </c>
    </row>
    <row r="12" spans="1:25" ht="24" hidden="1" customHeight="1">
      <c r="A12" s="554" t="s">
        <v>65</v>
      </c>
      <c r="B12" s="554">
        <v>829042743</v>
      </c>
      <c r="C12" s="555"/>
      <c r="D12" s="555"/>
      <c r="E12" s="555"/>
      <c r="F12" s="555"/>
      <c r="G12" s="555"/>
      <c r="H12" s="555"/>
      <c r="I12" s="554"/>
      <c r="J12" s="554"/>
      <c r="K12" s="556"/>
      <c r="L12" s="556"/>
      <c r="M12" s="554">
        <v>14025080</v>
      </c>
      <c r="N12" s="554">
        <v>0</v>
      </c>
      <c r="O12" s="554">
        <v>0</v>
      </c>
      <c r="P12" s="554">
        <v>0</v>
      </c>
      <c r="Q12" s="554">
        <v>0</v>
      </c>
      <c r="R12" s="554">
        <v>0</v>
      </c>
      <c r="S12" s="554">
        <v>0</v>
      </c>
      <c r="T12" s="554">
        <v>0</v>
      </c>
      <c r="U12" s="554">
        <v>0</v>
      </c>
      <c r="V12" s="554">
        <v>0</v>
      </c>
      <c r="W12" s="554" t="s">
        <v>339</v>
      </c>
      <c r="X12" s="557">
        <v>1168756</v>
      </c>
      <c r="Y12" s="557" t="s">
        <v>378</v>
      </c>
    </row>
    <row r="13" spans="1:25" ht="24" hidden="1" customHeight="1">
      <c r="A13" s="554" t="s">
        <v>65</v>
      </c>
      <c r="B13" s="554">
        <v>829042743</v>
      </c>
      <c r="C13" s="555"/>
      <c r="D13" s="555"/>
      <c r="E13" s="555"/>
      <c r="F13" s="555"/>
      <c r="G13" s="555"/>
      <c r="H13" s="555"/>
      <c r="I13" s="554"/>
      <c r="J13" s="554"/>
      <c r="K13" s="556"/>
      <c r="L13" s="556"/>
      <c r="M13" s="554">
        <v>13947710</v>
      </c>
      <c r="N13" s="554">
        <v>0</v>
      </c>
      <c r="O13" s="554">
        <v>0</v>
      </c>
      <c r="P13" s="554">
        <v>0</v>
      </c>
      <c r="Q13" s="554">
        <v>0</v>
      </c>
      <c r="R13" s="554">
        <v>0</v>
      </c>
      <c r="S13" s="554">
        <v>0</v>
      </c>
      <c r="T13" s="554">
        <v>0</v>
      </c>
      <c r="U13" s="554">
        <v>0</v>
      </c>
      <c r="V13" s="554">
        <v>0</v>
      </c>
      <c r="W13" s="554" t="s">
        <v>339</v>
      </c>
      <c r="X13" s="557">
        <v>1162309</v>
      </c>
      <c r="Y13" s="557" t="s">
        <v>378</v>
      </c>
    </row>
    <row r="14" spans="1:25" ht="24" hidden="1" customHeight="1">
      <c r="A14" s="554" t="s">
        <v>65</v>
      </c>
      <c r="B14" s="554">
        <v>829042743</v>
      </c>
      <c r="C14" s="555"/>
      <c r="D14" s="555"/>
      <c r="E14" s="555"/>
      <c r="F14" s="555"/>
      <c r="G14" s="555"/>
      <c r="H14" s="555"/>
      <c r="I14" s="554"/>
      <c r="J14" s="554"/>
      <c r="K14" s="556"/>
      <c r="L14" s="556"/>
      <c r="M14" s="554">
        <v>20894650</v>
      </c>
      <c r="N14" s="554">
        <v>0</v>
      </c>
      <c r="O14" s="554">
        <v>0</v>
      </c>
      <c r="P14" s="554">
        <v>0</v>
      </c>
      <c r="Q14" s="554">
        <v>0</v>
      </c>
      <c r="R14" s="554">
        <v>0</v>
      </c>
      <c r="S14" s="554">
        <v>0</v>
      </c>
      <c r="T14" s="554">
        <v>0</v>
      </c>
      <c r="U14" s="554">
        <v>0</v>
      </c>
      <c r="V14" s="554">
        <v>0</v>
      </c>
      <c r="W14" s="554" t="s">
        <v>339</v>
      </c>
      <c r="X14" s="557">
        <v>1741220</v>
      </c>
      <c r="Y14" s="557" t="s">
        <v>378</v>
      </c>
    </row>
    <row r="15" spans="1:25" ht="24" hidden="1" customHeight="1">
      <c r="A15" s="554" t="s">
        <v>65</v>
      </c>
      <c r="B15" s="554">
        <v>829042743</v>
      </c>
      <c r="C15" s="555"/>
      <c r="D15" s="555"/>
      <c r="E15" s="555"/>
      <c r="F15" s="555"/>
      <c r="G15" s="555"/>
      <c r="H15" s="555"/>
      <c r="I15" s="554"/>
      <c r="J15" s="554"/>
      <c r="K15" s="556"/>
      <c r="L15" s="556"/>
      <c r="M15" s="554">
        <v>14160660</v>
      </c>
      <c r="N15" s="554">
        <v>0</v>
      </c>
      <c r="O15" s="554">
        <v>0</v>
      </c>
      <c r="P15" s="554">
        <v>0</v>
      </c>
      <c r="Q15" s="554">
        <v>0</v>
      </c>
      <c r="R15" s="554">
        <v>0</v>
      </c>
      <c r="S15" s="554">
        <v>0</v>
      </c>
      <c r="T15" s="554">
        <v>0</v>
      </c>
      <c r="U15" s="554">
        <v>0</v>
      </c>
      <c r="V15" s="554">
        <v>0</v>
      </c>
      <c r="W15" s="554" t="s">
        <v>339</v>
      </c>
      <c r="X15" s="557">
        <v>1180055</v>
      </c>
      <c r="Y15" s="557" t="s">
        <v>378</v>
      </c>
    </row>
    <row r="16" spans="1:25" ht="24" hidden="1" customHeight="1">
      <c r="A16" s="554" t="s">
        <v>65</v>
      </c>
      <c r="B16" s="554">
        <v>829042743</v>
      </c>
      <c r="C16" s="555"/>
      <c r="D16" s="555"/>
      <c r="E16" s="555"/>
      <c r="F16" s="555"/>
      <c r="G16" s="555"/>
      <c r="H16" s="555"/>
      <c r="I16" s="554"/>
      <c r="J16" s="554"/>
      <c r="K16" s="556"/>
      <c r="L16" s="556"/>
      <c r="M16" s="554">
        <v>14384890</v>
      </c>
      <c r="N16" s="554">
        <v>0</v>
      </c>
      <c r="O16" s="554">
        <v>0</v>
      </c>
      <c r="P16" s="554">
        <v>0</v>
      </c>
      <c r="Q16" s="554">
        <v>0</v>
      </c>
      <c r="R16" s="554">
        <v>0</v>
      </c>
      <c r="S16" s="554">
        <v>0</v>
      </c>
      <c r="T16" s="554">
        <v>0</v>
      </c>
      <c r="U16" s="554">
        <v>0</v>
      </c>
      <c r="V16" s="554">
        <v>0</v>
      </c>
      <c r="W16" s="554" t="s">
        <v>339</v>
      </c>
      <c r="X16" s="557">
        <v>1198740</v>
      </c>
      <c r="Y16" s="557" t="s">
        <v>378</v>
      </c>
    </row>
    <row r="17" spans="1:25" ht="24" hidden="1" customHeight="1">
      <c r="A17" s="554" t="s">
        <v>65</v>
      </c>
      <c r="B17" s="554">
        <v>829042743</v>
      </c>
      <c r="C17" s="555"/>
      <c r="D17" s="555"/>
      <c r="E17" s="555"/>
      <c r="F17" s="555"/>
      <c r="G17" s="555"/>
      <c r="H17" s="555"/>
      <c r="I17" s="554"/>
      <c r="J17" s="554"/>
      <c r="K17" s="556"/>
      <c r="L17" s="556"/>
      <c r="M17" s="554">
        <v>2354680</v>
      </c>
      <c r="N17" s="554">
        <v>0</v>
      </c>
      <c r="O17" s="554">
        <v>0</v>
      </c>
      <c r="P17" s="554">
        <v>0</v>
      </c>
      <c r="Q17" s="554">
        <v>0</v>
      </c>
      <c r="R17" s="554">
        <v>0</v>
      </c>
      <c r="S17" s="554">
        <v>0</v>
      </c>
      <c r="T17" s="554">
        <v>0</v>
      </c>
      <c r="U17" s="554">
        <v>0</v>
      </c>
      <c r="V17" s="554">
        <v>0</v>
      </c>
      <c r="W17" s="554" t="s">
        <v>339</v>
      </c>
      <c r="X17" s="557">
        <v>196223</v>
      </c>
      <c r="Y17" s="557" t="s">
        <v>378</v>
      </c>
    </row>
    <row r="18" spans="1:25" ht="24" hidden="1" customHeight="1">
      <c r="A18" s="554" t="s">
        <v>65</v>
      </c>
      <c r="B18" s="554">
        <v>829042743</v>
      </c>
      <c r="C18" s="555"/>
      <c r="D18" s="555"/>
      <c r="E18" s="555"/>
      <c r="F18" s="555"/>
      <c r="G18" s="555"/>
      <c r="H18" s="555"/>
      <c r="I18" s="554"/>
      <c r="J18" s="554"/>
      <c r="K18" s="556"/>
      <c r="L18" s="556"/>
      <c r="M18" s="554">
        <v>14549340</v>
      </c>
      <c r="N18" s="554">
        <v>0</v>
      </c>
      <c r="O18" s="554">
        <v>0</v>
      </c>
      <c r="P18" s="554">
        <v>0</v>
      </c>
      <c r="Q18" s="554">
        <v>0</v>
      </c>
      <c r="R18" s="554">
        <v>0</v>
      </c>
      <c r="S18" s="554">
        <v>0</v>
      </c>
      <c r="T18" s="554">
        <v>0</v>
      </c>
      <c r="U18" s="554">
        <v>0</v>
      </c>
      <c r="V18" s="554">
        <v>0</v>
      </c>
      <c r="W18" s="554" t="s">
        <v>339</v>
      </c>
      <c r="X18" s="557">
        <v>1212445</v>
      </c>
      <c r="Y18" s="557" t="s">
        <v>378</v>
      </c>
    </row>
    <row r="19" spans="1:25" ht="24" customHeight="1">
      <c r="A19" s="549"/>
      <c r="B19" s="549"/>
      <c r="C19" s="1106" t="s">
        <v>297</v>
      </c>
      <c r="D19" s="1107"/>
      <c r="E19" s="1107"/>
      <c r="F19" s="1107"/>
      <c r="G19" s="1107"/>
      <c r="H19" s="1108"/>
      <c r="I19" s="558"/>
      <c r="J19" s="558"/>
      <c r="K19" s="559">
        <f>SUM(K5:K18)</f>
        <v>5866520</v>
      </c>
      <c r="L19" s="559">
        <f>SUM(L5:L18)</f>
        <v>5866520</v>
      </c>
      <c r="M19" s="549"/>
      <c r="N19" s="549"/>
      <c r="O19" s="549"/>
      <c r="P19" s="549"/>
      <c r="Q19" s="549"/>
      <c r="R19" s="549"/>
      <c r="S19" s="549"/>
      <c r="T19" s="549"/>
      <c r="U19" s="549"/>
      <c r="V19" s="549"/>
      <c r="W19" s="549"/>
    </row>
    <row r="20" spans="1:25" ht="24" hidden="1" customHeight="1">
      <c r="A20" s="554" t="s">
        <v>65</v>
      </c>
      <c r="B20" s="560">
        <v>829042743</v>
      </c>
      <c r="C20" s="555" t="s">
        <v>170</v>
      </c>
      <c r="D20" s="555"/>
      <c r="E20" s="555" t="s">
        <v>277</v>
      </c>
      <c r="F20" s="561" t="s">
        <v>380</v>
      </c>
      <c r="G20" s="555"/>
      <c r="H20" s="555" t="s">
        <v>137</v>
      </c>
      <c r="I20" s="554"/>
      <c r="J20" s="554"/>
      <c r="K20" s="556"/>
      <c r="L20" s="556"/>
      <c r="M20" s="562">
        <v>14160660</v>
      </c>
      <c r="N20" s="554">
        <v>0</v>
      </c>
      <c r="O20" s="554">
        <v>0</v>
      </c>
      <c r="P20" s="554">
        <v>0</v>
      </c>
      <c r="Q20" s="554">
        <v>0</v>
      </c>
      <c r="R20" s="554">
        <v>0</v>
      </c>
      <c r="S20" s="554">
        <v>0</v>
      </c>
      <c r="T20" s="554">
        <v>0</v>
      </c>
      <c r="U20" s="554">
        <v>0</v>
      </c>
      <c r="V20" s="554">
        <v>0</v>
      </c>
      <c r="W20" s="554" t="s">
        <v>339</v>
      </c>
      <c r="X20" s="557">
        <v>1180055</v>
      </c>
      <c r="Y20" s="557" t="s">
        <v>378</v>
      </c>
    </row>
    <row r="21" spans="1:25" ht="24" hidden="1" customHeight="1">
      <c r="A21" s="554" t="s">
        <v>65</v>
      </c>
      <c r="B21" s="560">
        <v>829042743</v>
      </c>
      <c r="C21" s="555"/>
      <c r="D21" s="555"/>
      <c r="E21" s="555"/>
      <c r="F21" s="561"/>
      <c r="G21" s="555"/>
      <c r="H21" s="555"/>
      <c r="I21" s="554"/>
      <c r="J21" s="554"/>
      <c r="K21" s="556"/>
      <c r="L21" s="556"/>
      <c r="M21" s="562">
        <v>14384890</v>
      </c>
      <c r="N21" s="554">
        <v>0</v>
      </c>
      <c r="O21" s="554">
        <v>0</v>
      </c>
      <c r="P21" s="554">
        <v>0</v>
      </c>
      <c r="Q21" s="554">
        <v>0</v>
      </c>
      <c r="R21" s="554">
        <v>0</v>
      </c>
      <c r="S21" s="554">
        <v>0</v>
      </c>
      <c r="T21" s="554">
        <v>0</v>
      </c>
      <c r="U21" s="554">
        <v>0</v>
      </c>
      <c r="V21" s="554">
        <v>0</v>
      </c>
      <c r="W21" s="554" t="s">
        <v>339</v>
      </c>
      <c r="X21" s="557">
        <v>1198740</v>
      </c>
      <c r="Y21" s="557" t="s">
        <v>378</v>
      </c>
    </row>
    <row r="22" spans="1:25" ht="24" hidden="1" customHeight="1">
      <c r="A22" s="554" t="s">
        <v>65</v>
      </c>
      <c r="B22" s="560">
        <v>829042743</v>
      </c>
      <c r="C22" s="555"/>
      <c r="D22" s="555"/>
      <c r="E22" s="555"/>
      <c r="F22" s="561"/>
      <c r="G22" s="555"/>
      <c r="H22" s="555"/>
      <c r="I22" s="554"/>
      <c r="J22" s="554"/>
      <c r="K22" s="556"/>
      <c r="L22" s="556"/>
      <c r="M22" s="562">
        <v>2354680</v>
      </c>
      <c r="N22" s="554">
        <v>0</v>
      </c>
      <c r="O22" s="554">
        <v>0</v>
      </c>
      <c r="P22" s="554">
        <v>0</v>
      </c>
      <c r="Q22" s="554">
        <v>0</v>
      </c>
      <c r="R22" s="554">
        <v>0</v>
      </c>
      <c r="S22" s="554">
        <v>0</v>
      </c>
      <c r="T22" s="554">
        <v>0</v>
      </c>
      <c r="U22" s="554">
        <v>0</v>
      </c>
      <c r="V22" s="554">
        <v>0</v>
      </c>
      <c r="W22" s="554" t="s">
        <v>339</v>
      </c>
      <c r="X22" s="557">
        <v>196223</v>
      </c>
      <c r="Y22" s="557" t="s">
        <v>378</v>
      </c>
    </row>
    <row r="23" spans="1:25" ht="24" hidden="1" customHeight="1">
      <c r="A23" s="554" t="s">
        <v>65</v>
      </c>
      <c r="B23" s="560">
        <v>829042743</v>
      </c>
      <c r="C23" s="555"/>
      <c r="D23" s="555"/>
      <c r="E23" s="555"/>
      <c r="F23" s="555"/>
      <c r="G23" s="555"/>
      <c r="H23" s="555"/>
      <c r="I23" s="554"/>
      <c r="J23" s="554"/>
      <c r="K23" s="556"/>
      <c r="L23" s="556"/>
      <c r="M23" s="562">
        <v>14549340</v>
      </c>
      <c r="N23" s="554">
        <v>0</v>
      </c>
      <c r="O23" s="554">
        <v>0</v>
      </c>
      <c r="P23" s="554">
        <v>0</v>
      </c>
      <c r="Q23" s="554">
        <v>0</v>
      </c>
      <c r="R23" s="554">
        <v>0</v>
      </c>
      <c r="S23" s="554">
        <v>0</v>
      </c>
      <c r="T23" s="554">
        <v>0</v>
      </c>
      <c r="U23" s="554">
        <v>0</v>
      </c>
      <c r="V23" s="554">
        <v>0</v>
      </c>
      <c r="W23" s="554" t="s">
        <v>339</v>
      </c>
      <c r="X23" s="557">
        <v>1212445</v>
      </c>
      <c r="Y23" s="557" t="s">
        <v>378</v>
      </c>
    </row>
    <row r="24" spans="1:25" ht="24" hidden="1" customHeight="1">
      <c r="A24" s="549"/>
      <c r="B24" s="549"/>
      <c r="C24" s="1106" t="s">
        <v>33</v>
      </c>
      <c r="D24" s="1107"/>
      <c r="E24" s="1107"/>
      <c r="F24" s="1107"/>
      <c r="G24" s="1107"/>
      <c r="H24" s="1108"/>
      <c r="I24" s="558"/>
      <c r="J24" s="558"/>
      <c r="K24" s="559">
        <f>SUM(K20:K23)</f>
        <v>0</v>
      </c>
      <c r="L24" s="559">
        <f>SUM(L20:L23)</f>
        <v>0</v>
      </c>
      <c r="M24" s="563"/>
      <c r="N24" s="563"/>
      <c r="O24" s="563"/>
      <c r="P24" s="563"/>
      <c r="Q24" s="563"/>
      <c r="R24" s="563"/>
      <c r="S24" s="563"/>
      <c r="T24" s="563"/>
      <c r="U24" s="563"/>
      <c r="V24" s="563"/>
      <c r="W24" s="563"/>
      <c r="X24" s="564"/>
      <c r="Y24" s="564"/>
    </row>
    <row r="25" spans="1:25" ht="24" customHeight="1">
      <c r="A25" s="549"/>
      <c r="B25" s="549"/>
      <c r="C25" s="1109" t="s">
        <v>7</v>
      </c>
      <c r="D25" s="1110"/>
      <c r="E25" s="1110"/>
      <c r="F25" s="1110"/>
      <c r="G25" s="1110"/>
      <c r="H25" s="1111"/>
      <c r="I25" s="565"/>
      <c r="J25" s="565"/>
      <c r="K25" s="566">
        <f>K19-K24</f>
        <v>5866520</v>
      </c>
      <c r="L25" s="566">
        <f>L19-L24</f>
        <v>5866520</v>
      </c>
      <c r="M25" s="549"/>
      <c r="N25" s="549"/>
      <c r="O25" s="549"/>
      <c r="P25" s="549"/>
      <c r="Q25" s="549"/>
      <c r="R25" s="549"/>
      <c r="S25" s="549"/>
      <c r="T25" s="549"/>
      <c r="U25" s="549"/>
      <c r="V25" s="549"/>
      <c r="W25" s="549"/>
    </row>
    <row r="26" spans="1:25">
      <c r="K26" s="567"/>
    </row>
  </sheetData>
  <mergeCells count="5">
    <mergeCell ref="C1:Q1"/>
    <mergeCell ref="A3:W3"/>
    <mergeCell ref="C19:H19"/>
    <mergeCell ref="C24:H24"/>
    <mergeCell ref="C25:H25"/>
  </mergeCells>
  <phoneticPr fontId="41" type="noConversion"/>
  <printOptions horizontalCentered="1"/>
  <pageMargins left="0.7086111307144165" right="0.7086111307144165" top="0.74750000238418579" bottom="0.74750000238418579" header="0.31486111879348755" footer="0.31486111879348755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FF"/>
  </sheetPr>
  <dimension ref="A1:K39"/>
  <sheetViews>
    <sheetView view="pageBreakPreview" zoomScaleNormal="100" zoomScaleSheetLayoutView="100" workbookViewId="0">
      <selection activeCell="L42" sqref="L42"/>
    </sheetView>
  </sheetViews>
  <sheetFormatPr defaultColWidth="9" defaultRowHeight="13.5"/>
  <cols>
    <col min="1" max="1" width="5.375" style="34" bestFit="1" customWidth="1"/>
    <col min="2" max="2" width="9.625" style="34" bestFit="1" customWidth="1"/>
    <col min="3" max="3" width="12.25" style="34" bestFit="1" customWidth="1"/>
    <col min="4" max="4" width="14.125" style="34" bestFit="1" customWidth="1"/>
    <col min="5" max="5" width="13.625" style="590" customWidth="1"/>
    <col min="6" max="6" width="9.625" style="34" bestFit="1" customWidth="1"/>
    <col min="7" max="7" width="33" style="34" customWidth="1"/>
    <col min="8" max="8" width="9" style="34"/>
    <col min="9" max="9" width="10.875" style="34" bestFit="1" customWidth="1"/>
    <col min="10" max="10" width="14" style="34" bestFit="1" customWidth="1"/>
    <col min="11" max="11" width="10.875" style="34" bestFit="1" customWidth="1"/>
    <col min="12" max="16384" width="9" style="34"/>
  </cols>
  <sheetData>
    <row r="1" spans="1:9" s="570" customFormat="1" ht="46.5" customHeight="1">
      <c r="A1" s="1118" t="s">
        <v>40</v>
      </c>
      <c r="B1" s="1119"/>
      <c r="C1" s="1119"/>
      <c r="D1" s="1119"/>
      <c r="E1" s="1119"/>
      <c r="F1" s="1119"/>
      <c r="G1" s="1119"/>
      <c r="H1" s="568"/>
      <c r="I1" s="569"/>
    </row>
    <row r="2" spans="1:9" s="570" customFormat="1">
      <c r="E2" s="571"/>
      <c r="H2" s="572"/>
    </row>
    <row r="3" spans="1:9" s="570" customFormat="1" ht="29.25" customHeight="1">
      <c r="A3" s="573" t="s">
        <v>271</v>
      </c>
      <c r="B3" s="574" t="s">
        <v>140</v>
      </c>
      <c r="C3" s="574" t="s">
        <v>162</v>
      </c>
      <c r="D3" s="574" t="s">
        <v>184</v>
      </c>
      <c r="E3" s="575" t="s">
        <v>213</v>
      </c>
      <c r="F3" s="574" t="s">
        <v>180</v>
      </c>
      <c r="G3" s="576" t="s">
        <v>136</v>
      </c>
      <c r="H3" s="572"/>
    </row>
    <row r="4" spans="1:9" ht="27.6" customHeight="1">
      <c r="A4" s="577">
        <v>1</v>
      </c>
      <c r="B4" s="578">
        <v>44945</v>
      </c>
      <c r="C4" s="577" t="s">
        <v>246</v>
      </c>
      <c r="D4" s="577" t="s">
        <v>204</v>
      </c>
      <c r="E4" s="579">
        <v>2600000</v>
      </c>
      <c r="F4" s="577" t="s">
        <v>189</v>
      </c>
      <c r="G4" s="580" t="s">
        <v>5</v>
      </c>
    </row>
    <row r="5" spans="1:9" ht="27.6" customHeight="1">
      <c r="A5" s="577">
        <v>2</v>
      </c>
      <c r="B5" s="578">
        <v>44945</v>
      </c>
      <c r="C5" s="577" t="s">
        <v>246</v>
      </c>
      <c r="D5" s="577" t="s">
        <v>204</v>
      </c>
      <c r="E5" s="579">
        <v>21365000</v>
      </c>
      <c r="F5" s="577" t="s">
        <v>189</v>
      </c>
      <c r="G5" s="580" t="s">
        <v>73</v>
      </c>
    </row>
    <row r="6" spans="1:9" ht="27.6" customHeight="1">
      <c r="A6" s="577">
        <v>3</v>
      </c>
      <c r="B6" s="578">
        <v>44945</v>
      </c>
      <c r="C6" s="577" t="s">
        <v>246</v>
      </c>
      <c r="D6" s="577" t="s">
        <v>204</v>
      </c>
      <c r="E6" s="579">
        <v>45000</v>
      </c>
      <c r="F6" s="577" t="s">
        <v>189</v>
      </c>
      <c r="G6" s="580" t="s">
        <v>26</v>
      </c>
    </row>
    <row r="7" spans="1:9" ht="27.6" customHeight="1">
      <c r="A7" s="577">
        <v>4</v>
      </c>
      <c r="B7" s="578">
        <v>44945</v>
      </c>
      <c r="C7" s="577" t="s">
        <v>246</v>
      </c>
      <c r="D7" s="577" t="s">
        <v>204</v>
      </c>
      <c r="E7" s="579">
        <v>15000</v>
      </c>
      <c r="F7" s="577" t="s">
        <v>189</v>
      </c>
      <c r="G7" s="580" t="s">
        <v>27</v>
      </c>
    </row>
    <row r="8" spans="1:9" ht="27.6" customHeight="1">
      <c r="A8" s="577">
        <v>5</v>
      </c>
      <c r="B8" s="578">
        <v>44945</v>
      </c>
      <c r="C8" s="577" t="s">
        <v>246</v>
      </c>
      <c r="D8" s="577" t="s">
        <v>204</v>
      </c>
      <c r="E8" s="579">
        <v>20000</v>
      </c>
      <c r="F8" s="577" t="s">
        <v>189</v>
      </c>
      <c r="G8" s="580" t="s">
        <v>34</v>
      </c>
    </row>
    <row r="9" spans="1:9" ht="27.6" customHeight="1">
      <c r="A9" s="577">
        <v>6</v>
      </c>
      <c r="B9" s="578">
        <v>44945</v>
      </c>
      <c r="C9" s="577" t="s">
        <v>246</v>
      </c>
      <c r="D9" s="577" t="s">
        <v>204</v>
      </c>
      <c r="E9" s="579">
        <v>12000</v>
      </c>
      <c r="F9" s="577" t="s">
        <v>189</v>
      </c>
      <c r="G9" s="580" t="s">
        <v>392</v>
      </c>
    </row>
    <row r="10" spans="1:9" ht="27.6" customHeight="1">
      <c r="A10" s="577">
        <v>7</v>
      </c>
      <c r="B10" s="578">
        <v>45021</v>
      </c>
      <c r="C10" s="577" t="s">
        <v>246</v>
      </c>
      <c r="D10" s="577" t="s">
        <v>204</v>
      </c>
      <c r="E10" s="579">
        <v>2600000</v>
      </c>
      <c r="F10" s="577" t="s">
        <v>189</v>
      </c>
      <c r="G10" s="580" t="s">
        <v>12</v>
      </c>
    </row>
    <row r="11" spans="1:9" ht="27.6" customHeight="1">
      <c r="A11" s="577">
        <v>8</v>
      </c>
      <c r="B11" s="578">
        <v>45021</v>
      </c>
      <c r="C11" s="577" t="s">
        <v>246</v>
      </c>
      <c r="D11" s="577" t="s">
        <v>204</v>
      </c>
      <c r="E11" s="579">
        <v>18422000</v>
      </c>
      <c r="F11" s="577" t="s">
        <v>189</v>
      </c>
      <c r="G11" s="580" t="s">
        <v>3</v>
      </c>
    </row>
    <row r="12" spans="1:9" ht="27.6" customHeight="1">
      <c r="A12" s="577">
        <v>9</v>
      </c>
      <c r="B12" s="578">
        <v>45023</v>
      </c>
      <c r="C12" s="577" t="s">
        <v>246</v>
      </c>
      <c r="D12" s="577" t="s">
        <v>204</v>
      </c>
      <c r="E12" s="579">
        <v>45500</v>
      </c>
      <c r="F12" s="577" t="s">
        <v>189</v>
      </c>
      <c r="G12" s="580" t="s">
        <v>31</v>
      </c>
    </row>
    <row r="13" spans="1:9" ht="27.6" customHeight="1">
      <c r="A13" s="577">
        <v>10</v>
      </c>
      <c r="B13" s="578">
        <v>45023</v>
      </c>
      <c r="C13" s="577" t="s">
        <v>246</v>
      </c>
      <c r="D13" s="577" t="s">
        <v>204</v>
      </c>
      <c r="E13" s="579">
        <v>15000</v>
      </c>
      <c r="F13" s="577" t="s">
        <v>189</v>
      </c>
      <c r="G13" s="580" t="s">
        <v>20</v>
      </c>
    </row>
    <row r="14" spans="1:9" ht="27.6" customHeight="1">
      <c r="A14" s="577">
        <v>11</v>
      </c>
      <c r="B14" s="578">
        <v>45023</v>
      </c>
      <c r="C14" s="577" t="s">
        <v>246</v>
      </c>
      <c r="D14" s="577" t="s">
        <v>204</v>
      </c>
      <c r="E14" s="579">
        <v>20000</v>
      </c>
      <c r="F14" s="577" t="s">
        <v>189</v>
      </c>
      <c r="G14" s="580" t="s">
        <v>22</v>
      </c>
    </row>
    <row r="15" spans="1:9" ht="27.6" customHeight="1">
      <c r="A15" s="577">
        <v>12</v>
      </c>
      <c r="B15" s="578">
        <v>45023</v>
      </c>
      <c r="C15" s="577" t="s">
        <v>246</v>
      </c>
      <c r="D15" s="577" t="s">
        <v>204</v>
      </c>
      <c r="E15" s="579">
        <v>12000</v>
      </c>
      <c r="F15" s="577" t="s">
        <v>189</v>
      </c>
      <c r="G15" s="580" t="s">
        <v>389</v>
      </c>
    </row>
    <row r="16" spans="1:9" ht="27.6" customHeight="1">
      <c r="A16" s="577">
        <v>13</v>
      </c>
      <c r="B16" s="578">
        <v>45114</v>
      </c>
      <c r="C16" s="577" t="s">
        <v>246</v>
      </c>
      <c r="D16" s="577" t="s">
        <v>204</v>
      </c>
      <c r="E16" s="579">
        <v>2600000</v>
      </c>
      <c r="F16" s="577" t="s">
        <v>189</v>
      </c>
      <c r="G16" s="580" t="s">
        <v>69</v>
      </c>
    </row>
    <row r="17" spans="1:11" ht="27.6" customHeight="1">
      <c r="A17" s="577">
        <v>14</v>
      </c>
      <c r="B17" s="578">
        <v>45114</v>
      </c>
      <c r="C17" s="577" t="s">
        <v>246</v>
      </c>
      <c r="D17" s="577" t="s">
        <v>204</v>
      </c>
      <c r="E17" s="579">
        <v>21644000</v>
      </c>
      <c r="F17" s="577" t="s">
        <v>189</v>
      </c>
      <c r="G17" s="580" t="s">
        <v>56</v>
      </c>
    </row>
    <row r="18" spans="1:11" ht="27.6" customHeight="1">
      <c r="A18" s="577">
        <v>15</v>
      </c>
      <c r="B18" s="578">
        <v>45118</v>
      </c>
      <c r="C18" s="577" t="s">
        <v>246</v>
      </c>
      <c r="D18" s="577" t="s">
        <v>204</v>
      </c>
      <c r="E18" s="579">
        <v>138000</v>
      </c>
      <c r="F18" s="577" t="s">
        <v>189</v>
      </c>
      <c r="G18" s="580" t="s">
        <v>37</v>
      </c>
    </row>
    <row r="19" spans="1:11" ht="27.6" customHeight="1">
      <c r="A19" s="577">
        <v>16</v>
      </c>
      <c r="B19" s="578">
        <v>45118</v>
      </c>
      <c r="C19" s="577" t="s">
        <v>246</v>
      </c>
      <c r="D19" s="577" t="s">
        <v>204</v>
      </c>
      <c r="E19" s="579">
        <v>45000</v>
      </c>
      <c r="F19" s="577" t="s">
        <v>189</v>
      </c>
      <c r="G19" s="580" t="s">
        <v>43</v>
      </c>
    </row>
    <row r="20" spans="1:11" ht="27.6" customHeight="1">
      <c r="A20" s="577">
        <v>17</v>
      </c>
      <c r="B20" s="578">
        <v>45118</v>
      </c>
      <c r="C20" s="577" t="s">
        <v>246</v>
      </c>
      <c r="D20" s="577" t="s">
        <v>204</v>
      </c>
      <c r="E20" s="579">
        <v>60000</v>
      </c>
      <c r="F20" s="577" t="s">
        <v>189</v>
      </c>
      <c r="G20" s="580" t="s">
        <v>29</v>
      </c>
    </row>
    <row r="21" spans="1:11" ht="27.6" customHeight="1">
      <c r="A21" s="577">
        <v>18</v>
      </c>
      <c r="B21" s="578">
        <v>45118</v>
      </c>
      <c r="C21" s="577" t="s">
        <v>246</v>
      </c>
      <c r="D21" s="577" t="s">
        <v>204</v>
      </c>
      <c r="E21" s="579">
        <v>36000</v>
      </c>
      <c r="F21" s="577" t="s">
        <v>189</v>
      </c>
      <c r="G21" s="580" t="s">
        <v>388</v>
      </c>
    </row>
    <row r="22" spans="1:11" ht="27.6" customHeight="1">
      <c r="A22" s="577">
        <v>19</v>
      </c>
      <c r="B22" s="578">
        <v>45205</v>
      </c>
      <c r="C22" s="577" t="s">
        <v>246</v>
      </c>
      <c r="D22" s="577" t="s">
        <v>204</v>
      </c>
      <c r="E22" s="579">
        <v>2600000</v>
      </c>
      <c r="F22" s="577" t="s">
        <v>189</v>
      </c>
      <c r="G22" s="580" t="s">
        <v>10</v>
      </c>
    </row>
    <row r="23" spans="1:11" ht="27.6" customHeight="1">
      <c r="A23" s="577">
        <v>20</v>
      </c>
      <c r="B23" s="578">
        <v>45205</v>
      </c>
      <c r="C23" s="577" t="s">
        <v>246</v>
      </c>
      <c r="D23" s="577" t="s">
        <v>204</v>
      </c>
      <c r="E23" s="579">
        <v>23569000</v>
      </c>
      <c r="F23" s="577" t="s">
        <v>189</v>
      </c>
      <c r="G23" s="580" t="s">
        <v>60</v>
      </c>
    </row>
    <row r="24" spans="1:11" ht="27.6" customHeight="1">
      <c r="A24" s="577">
        <v>21</v>
      </c>
      <c r="B24" s="578">
        <v>45212</v>
      </c>
      <c r="C24" s="577" t="s">
        <v>246</v>
      </c>
      <c r="D24" s="577" t="s">
        <v>204</v>
      </c>
      <c r="E24" s="579">
        <v>138000</v>
      </c>
      <c r="F24" s="577" t="s">
        <v>189</v>
      </c>
      <c r="G24" s="580" t="s">
        <v>30</v>
      </c>
    </row>
    <row r="25" spans="1:11" ht="27.6" customHeight="1">
      <c r="A25" s="577">
        <v>22</v>
      </c>
      <c r="B25" s="578">
        <v>45212</v>
      </c>
      <c r="C25" s="577" t="s">
        <v>246</v>
      </c>
      <c r="D25" s="577" t="s">
        <v>204</v>
      </c>
      <c r="E25" s="579">
        <v>45000</v>
      </c>
      <c r="F25" s="577" t="s">
        <v>189</v>
      </c>
      <c r="G25" s="580" t="s">
        <v>23</v>
      </c>
    </row>
    <row r="26" spans="1:11" ht="27.6" customHeight="1">
      <c r="A26" s="577">
        <v>23</v>
      </c>
      <c r="B26" s="578">
        <v>45212</v>
      </c>
      <c r="C26" s="577" t="s">
        <v>246</v>
      </c>
      <c r="D26" s="577" t="s">
        <v>204</v>
      </c>
      <c r="E26" s="579">
        <v>60000</v>
      </c>
      <c r="F26" s="577" t="s">
        <v>189</v>
      </c>
      <c r="G26" s="580" t="s">
        <v>19</v>
      </c>
    </row>
    <row r="27" spans="1:11" ht="27.6" customHeight="1">
      <c r="A27" s="577">
        <v>24</v>
      </c>
      <c r="B27" s="578">
        <v>45212</v>
      </c>
      <c r="C27" s="577" t="s">
        <v>246</v>
      </c>
      <c r="D27" s="577" t="s">
        <v>204</v>
      </c>
      <c r="E27" s="579">
        <v>36000</v>
      </c>
      <c r="F27" s="577" t="s">
        <v>189</v>
      </c>
      <c r="G27" s="580" t="s">
        <v>387</v>
      </c>
    </row>
    <row r="28" spans="1:11" ht="27.6" customHeight="1">
      <c r="A28" s="577">
        <v>25</v>
      </c>
      <c r="B28" s="578">
        <v>45212</v>
      </c>
      <c r="C28" s="577" t="s">
        <v>246</v>
      </c>
      <c r="D28" s="577" t="s">
        <v>204</v>
      </c>
      <c r="E28" s="579">
        <v>120000</v>
      </c>
      <c r="F28" s="577" t="s">
        <v>189</v>
      </c>
      <c r="G28" s="580" t="s">
        <v>390</v>
      </c>
    </row>
    <row r="29" spans="1:11" s="584" customFormat="1" ht="27.6" customHeight="1">
      <c r="A29" s="1120" t="s">
        <v>149</v>
      </c>
      <c r="B29" s="1121"/>
      <c r="C29" s="1121"/>
      <c r="D29" s="1122"/>
      <c r="E29" s="635">
        <f>SUM(E4:E28)</f>
        <v>96262500</v>
      </c>
      <c r="F29" s="636"/>
      <c r="G29" s="637"/>
    </row>
    <row r="30" spans="1:11" ht="27.6" customHeight="1">
      <c r="A30" s="638">
        <v>26</v>
      </c>
      <c r="B30" s="639">
        <v>45011</v>
      </c>
      <c r="C30" s="638" t="s">
        <v>318</v>
      </c>
      <c r="D30" s="638" t="s">
        <v>332</v>
      </c>
      <c r="E30" s="640">
        <v>2370</v>
      </c>
      <c r="F30" s="638" t="s">
        <v>189</v>
      </c>
      <c r="G30" s="641" t="s">
        <v>70</v>
      </c>
      <c r="J30" s="585"/>
      <c r="K30" s="585"/>
    </row>
    <row r="31" spans="1:11" ht="27.6" customHeight="1">
      <c r="A31" s="638">
        <v>27</v>
      </c>
      <c r="B31" s="639">
        <v>45102</v>
      </c>
      <c r="C31" s="638" t="s">
        <v>318</v>
      </c>
      <c r="D31" s="638" t="s">
        <v>332</v>
      </c>
      <c r="E31" s="640">
        <v>3170</v>
      </c>
      <c r="F31" s="638" t="s">
        <v>189</v>
      </c>
      <c r="G31" s="641" t="s">
        <v>70</v>
      </c>
      <c r="J31" s="585"/>
      <c r="K31" s="585"/>
    </row>
    <row r="32" spans="1:11" ht="27.6" customHeight="1">
      <c r="A32" s="638">
        <v>28</v>
      </c>
      <c r="B32" s="639">
        <v>45193</v>
      </c>
      <c r="C32" s="638" t="s">
        <v>318</v>
      </c>
      <c r="D32" s="638" t="s">
        <v>332</v>
      </c>
      <c r="E32" s="640">
        <v>4000</v>
      </c>
      <c r="F32" s="638" t="s">
        <v>189</v>
      </c>
      <c r="G32" s="641" t="s">
        <v>70</v>
      </c>
      <c r="J32" s="585"/>
      <c r="K32" s="585"/>
    </row>
    <row r="33" spans="1:11" ht="27.6" customHeight="1">
      <c r="A33" s="638">
        <v>29</v>
      </c>
      <c r="B33" s="639">
        <v>45284</v>
      </c>
      <c r="C33" s="638" t="s">
        <v>318</v>
      </c>
      <c r="D33" s="638" t="s">
        <v>332</v>
      </c>
      <c r="E33" s="640">
        <v>4880</v>
      </c>
      <c r="F33" s="638" t="s">
        <v>189</v>
      </c>
      <c r="G33" s="641" t="s">
        <v>72</v>
      </c>
      <c r="J33" s="585"/>
      <c r="K33" s="585"/>
    </row>
    <row r="34" spans="1:11" ht="27.6" customHeight="1">
      <c r="A34" s="638">
        <v>30</v>
      </c>
      <c r="B34" s="639">
        <v>45284</v>
      </c>
      <c r="C34" s="638" t="s">
        <v>318</v>
      </c>
      <c r="D34" s="638" t="s">
        <v>332</v>
      </c>
      <c r="E34" s="640">
        <v>10</v>
      </c>
      <c r="F34" s="638" t="s">
        <v>189</v>
      </c>
      <c r="G34" s="641" t="s">
        <v>16</v>
      </c>
      <c r="J34" s="585"/>
      <c r="K34" s="585"/>
    </row>
    <row r="35" spans="1:11" s="584" customFormat="1" ht="27.6" customHeight="1">
      <c r="A35" s="1112" t="s">
        <v>134</v>
      </c>
      <c r="B35" s="1113"/>
      <c r="C35" s="1113"/>
      <c r="D35" s="1114"/>
      <c r="E35" s="581">
        <f>SUM(E30:E34)</f>
        <v>14430</v>
      </c>
      <c r="F35" s="582"/>
      <c r="G35" s="583"/>
    </row>
    <row r="36" spans="1:11" s="584" customFormat="1" ht="27.6" customHeight="1">
      <c r="A36" s="1115" t="s">
        <v>300</v>
      </c>
      <c r="B36" s="1116"/>
      <c r="C36" s="1116"/>
      <c r="D36" s="1117"/>
      <c r="E36" s="586">
        <f>SUM(E29+E35)</f>
        <v>96276930</v>
      </c>
      <c r="F36" s="587"/>
      <c r="G36" s="587"/>
    </row>
    <row r="38" spans="1:11">
      <c r="E38" s="588"/>
    </row>
    <row r="39" spans="1:11">
      <c r="E39" s="589"/>
    </row>
  </sheetData>
  <mergeCells count="4">
    <mergeCell ref="A35:D35"/>
    <mergeCell ref="A36:D36"/>
    <mergeCell ref="A1:G1"/>
    <mergeCell ref="A29:D29"/>
  </mergeCells>
  <phoneticPr fontId="41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portrait" r:id="rId1"/>
  <colBreaks count="1" manualBreakCount="1">
    <brk id="7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974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14</vt:i4>
      </vt:variant>
    </vt:vector>
  </HeadingPairs>
  <TitlesOfParts>
    <vt:vector size="26" baseType="lpstr">
      <vt:lpstr>가. 세입세출(총괄)</vt:lpstr>
      <vt:lpstr>나. 세입결산</vt:lpstr>
      <vt:lpstr>다. 세출결산</vt:lpstr>
      <vt:lpstr>라. 세입세출(개요)</vt:lpstr>
      <vt:lpstr>마. 증감사유</vt:lpstr>
      <vt:lpstr>바. 임직원보수 일람표</vt:lpstr>
      <vt:lpstr>사. 일용잡급일람표</vt:lpstr>
      <vt:lpstr>사. 현금 및 예금명세서</vt:lpstr>
      <vt:lpstr>사-1 예금잔액증명서</vt:lpstr>
      <vt:lpstr>아. 퇴직충당금명세서</vt:lpstr>
      <vt:lpstr>아-1퇴직금 불입내역서 및 잔액증명서</vt:lpstr>
      <vt:lpstr>자. 정부보조금명세서</vt:lpstr>
      <vt:lpstr>'가. 세입세출(총괄)'!Print_Area</vt:lpstr>
      <vt:lpstr>'나. 세입결산'!Print_Area</vt:lpstr>
      <vt:lpstr>'다. 세출결산'!Print_Area</vt:lpstr>
      <vt:lpstr>'라. 세입세출(개요)'!Print_Area</vt:lpstr>
      <vt:lpstr>'바. 임직원보수 일람표'!Print_Area</vt:lpstr>
      <vt:lpstr>'사. 일용잡급일람표'!Print_Area</vt:lpstr>
      <vt:lpstr>'아. 퇴직충당금명세서'!Print_Area</vt:lpstr>
      <vt:lpstr>'자. 정부보조금명세서'!Print_Area</vt:lpstr>
      <vt:lpstr>'가. 세입세출(총괄)'!Print_Titles</vt:lpstr>
      <vt:lpstr>'나. 세입결산'!Print_Titles</vt:lpstr>
      <vt:lpstr>'다. 세출결산'!Print_Titles</vt:lpstr>
      <vt:lpstr>'마. 증감사유'!Print_Titles</vt:lpstr>
      <vt:lpstr>'바. 임직원보수 일람표'!Print_Titles</vt:lpstr>
      <vt:lpstr>'사.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USER</cp:lastModifiedBy>
  <cp:revision>94</cp:revision>
  <cp:lastPrinted>2024-01-10T05:53:30Z</cp:lastPrinted>
  <dcterms:created xsi:type="dcterms:W3CDTF">2001-04-07T08:29:30Z</dcterms:created>
  <dcterms:modified xsi:type="dcterms:W3CDTF">2024-04-23T01:10:43Z</dcterms:modified>
  <cp:version>1200.0100.01</cp:version>
</cp:coreProperties>
</file>